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filterPrivacy="1" defaultThemeVersion="124226"/>
  <workbookProtection workbookAlgorithmName="SHA-512" workbookHashValue="i+dEJFeXEEQlXXA+hLDAdIq/Jv4ypq+i1G0Eerud5jCJC/l33C1E1q4tyiKFQGmG2t2+Ge8ecj8vT1laoBGH/g==" workbookSaltValue="xaPD8pwyInXW1CE4pIVetQ==" workbookSpinCount="100000" lockStructure="1"/>
  <bookViews>
    <workbookView xWindow="0" yWindow="0" windowWidth="19200" windowHeight="11160"/>
  </bookViews>
  <sheets>
    <sheet name="Видимый верхний трек" sheetId="1" r:id="rId1"/>
    <sheet name="Скрытый верхний трек, корпус" sheetId="4" r:id="rId2"/>
    <sheet name="Скрытый верхний трек, проем" sheetId="5" r:id="rId3"/>
  </sheets>
  <definedNames>
    <definedName name="_xlnm.Print_Area" localSheetId="0">'Видимый верхний трек'!$A$3:$J$33</definedName>
    <definedName name="_xlnm.Print_Area" localSheetId="1">'Скрытый верхний трек, корпус'!$A$2:$J$36</definedName>
    <definedName name="_xlnm.Print_Area" localSheetId="2">'Скрытый верхний трек, проем'!$A$2:$J$36</definedName>
  </definedNames>
  <calcPr calcId="145621"/>
</workbook>
</file>

<file path=xl/calcChain.xml><?xml version="1.0" encoding="utf-8"?>
<calcChain xmlns="http://schemas.openxmlformats.org/spreadsheetml/2006/main">
  <c r="J7" i="4" l="1"/>
  <c r="G34" i="5" l="1"/>
  <c r="H34" i="5" s="1"/>
  <c r="G33" i="5"/>
  <c r="H33" i="5" s="1"/>
  <c r="G33" i="4"/>
  <c r="H33" i="4" s="1"/>
  <c r="G34" i="4"/>
  <c r="H34" i="4" s="1"/>
  <c r="G32" i="1" l="1"/>
  <c r="H32" i="1" s="1"/>
  <c r="G33" i="1"/>
  <c r="H33" i="1" s="1"/>
  <c r="I25" i="5" l="1"/>
  <c r="G25" i="5" s="1"/>
  <c r="H25" i="5" s="1"/>
  <c r="I25" i="4"/>
  <c r="G25" i="4" s="1"/>
  <c r="I14" i="4"/>
  <c r="I14" i="5"/>
  <c r="I15" i="5"/>
  <c r="J7" i="5"/>
  <c r="I14" i="1"/>
  <c r="I15" i="1"/>
  <c r="G15" i="1" s="1"/>
  <c r="H15" i="1" s="1"/>
  <c r="J7" i="1"/>
  <c r="I27" i="5"/>
  <c r="G27" i="5" s="1"/>
  <c r="H27" i="5" s="1"/>
  <c r="I26" i="5"/>
  <c r="G26" i="5" s="1"/>
  <c r="H26" i="5" s="1"/>
  <c r="J21" i="5"/>
  <c r="J20" i="5"/>
  <c r="G20" i="5" s="1"/>
  <c r="H20" i="5" s="1"/>
  <c r="J19" i="5"/>
  <c r="I19" i="5"/>
  <c r="J18" i="5"/>
  <c r="J17" i="5"/>
  <c r="J16" i="5"/>
  <c r="J8" i="5"/>
  <c r="I27" i="4"/>
  <c r="G27" i="4" s="1"/>
  <c r="H27" i="4" s="1"/>
  <c r="I26" i="4"/>
  <c r="G26" i="4" s="1"/>
  <c r="H26" i="4" s="1"/>
  <c r="J21" i="4"/>
  <c r="J20" i="4"/>
  <c r="G20" i="4" s="1"/>
  <c r="H20" i="4" s="1"/>
  <c r="J19" i="4"/>
  <c r="I19" i="4"/>
  <c r="J18" i="4"/>
  <c r="J17" i="4"/>
  <c r="J16" i="4"/>
  <c r="I15" i="4"/>
  <c r="J8" i="4"/>
  <c r="I21" i="5" l="1"/>
  <c r="I24" i="5"/>
  <c r="G24" i="5" s="1"/>
  <c r="H24" i="5" s="1"/>
  <c r="I21" i="4"/>
  <c r="I24" i="4"/>
  <c r="G24" i="4" s="1"/>
  <c r="H24" i="4" s="1"/>
  <c r="G19" i="4"/>
  <c r="H19" i="4" s="1"/>
  <c r="G14" i="5"/>
  <c r="G14" i="1"/>
  <c r="G14" i="4"/>
  <c r="J10" i="4"/>
  <c r="G16" i="5"/>
  <c r="H16" i="5" s="1"/>
  <c r="I30" i="5"/>
  <c r="G30" i="5" s="1"/>
  <c r="H30" i="5" s="1"/>
  <c r="G19" i="5"/>
  <c r="H19" i="5" s="1"/>
  <c r="I29" i="4"/>
  <c r="G29" i="4" s="1"/>
  <c r="H29" i="4" s="1"/>
  <c r="G15" i="4"/>
  <c r="H15" i="4" s="1"/>
  <c r="I30" i="4"/>
  <c r="G30" i="4" s="1"/>
  <c r="H30" i="4" s="1"/>
  <c r="G16" i="4"/>
  <c r="G21" i="4"/>
  <c r="H21" i="4" s="1"/>
  <c r="G21" i="5"/>
  <c r="H21" i="5" s="1"/>
  <c r="H25" i="4"/>
  <c r="J10" i="5"/>
  <c r="I29" i="5"/>
  <c r="G29" i="5" s="1"/>
  <c r="H29" i="5" s="1"/>
  <c r="G15" i="5"/>
  <c r="H15" i="5" s="1"/>
  <c r="I16" i="5"/>
  <c r="I32" i="5" s="1"/>
  <c r="G32" i="5" s="1"/>
  <c r="H32" i="5" s="1"/>
  <c r="I28" i="5"/>
  <c r="G28" i="5" s="1"/>
  <c r="H28" i="5" s="1"/>
  <c r="I16" i="4"/>
  <c r="I32" i="4" s="1"/>
  <c r="G32" i="4" s="1"/>
  <c r="H32" i="4" s="1"/>
  <c r="I28" i="4"/>
  <c r="G28" i="4" s="1"/>
  <c r="I17" i="5"/>
  <c r="G17" i="5" s="1"/>
  <c r="H17" i="5" s="1"/>
  <c r="J11" i="5"/>
  <c r="I17" i="4"/>
  <c r="G17" i="4" s="1"/>
  <c r="H17" i="4" s="1"/>
  <c r="J11" i="4"/>
  <c r="H14" i="1" l="1"/>
  <c r="H14" i="4"/>
  <c r="H14" i="5"/>
  <c r="H28" i="4"/>
  <c r="H16" i="4"/>
  <c r="I18" i="5"/>
  <c r="G18" i="5" s="1"/>
  <c r="I31" i="5"/>
  <c r="G31" i="5" s="1"/>
  <c r="H31" i="5" s="1"/>
  <c r="I31" i="4"/>
  <c r="G31" i="4" s="1"/>
  <c r="I18" i="4"/>
  <c r="G18" i="4" s="1"/>
  <c r="H18" i="4" s="1"/>
  <c r="H31" i="4" l="1"/>
  <c r="H18" i="5"/>
  <c r="I26" i="1"/>
  <c r="G26" i="1" s="1"/>
  <c r="H26" i="1" s="1"/>
  <c r="I25" i="1"/>
  <c r="G25" i="1" s="1"/>
  <c r="H25" i="1" s="1"/>
  <c r="J20" i="1" l="1"/>
  <c r="G20" i="1" s="1"/>
  <c r="H20" i="1" s="1"/>
  <c r="J19" i="1"/>
  <c r="I19" i="1"/>
  <c r="G19" i="1" l="1"/>
  <c r="H19" i="1" s="1"/>
  <c r="I28" i="1"/>
  <c r="G28" i="1" s="1"/>
  <c r="H28" i="1" s="1"/>
  <c r="J21" i="1" l="1"/>
  <c r="J18" i="1"/>
  <c r="J17" i="1"/>
  <c r="J16" i="1"/>
  <c r="G16" i="1" l="1"/>
  <c r="I29" i="1"/>
  <c r="G29" i="1" s="1"/>
  <c r="H29" i="1" s="1"/>
  <c r="I27" i="1"/>
  <c r="G27" i="1" s="1"/>
  <c r="J8" i="1"/>
  <c r="I24" i="1" s="1"/>
  <c r="G24" i="1" s="1"/>
  <c r="H24" i="1" s="1"/>
  <c r="H16" i="1" l="1"/>
  <c r="H27" i="1"/>
  <c r="I16" i="1"/>
  <c r="J10" i="1"/>
  <c r="I17" i="1"/>
  <c r="I21" i="1"/>
  <c r="G21" i="1" s="1"/>
  <c r="H21" i="1" s="1"/>
  <c r="J11" i="1"/>
  <c r="I18" i="1" l="1"/>
  <c r="G18" i="1" s="1"/>
  <c r="H18" i="1" s="1"/>
  <c r="G17" i="1"/>
  <c r="I31" i="1"/>
  <c r="G31" i="1" s="1"/>
  <c r="I30" i="1"/>
  <c r="G30" i="1" s="1"/>
  <c r="H30" i="1" s="1"/>
  <c r="H17" i="1" l="1"/>
  <c r="H31" i="1"/>
</calcChain>
</file>

<file path=xl/sharedStrings.xml><?xml version="1.0" encoding="utf-8"?>
<sst xmlns="http://schemas.openxmlformats.org/spreadsheetml/2006/main" count="151" uniqueCount="56">
  <si>
    <t>Высота проёма</t>
  </si>
  <si>
    <t>Количество дверей</t>
  </si>
  <si>
    <t>Количество перекрытий</t>
  </si>
  <si>
    <t>Профили:</t>
  </si>
  <si>
    <t>размер</t>
  </si>
  <si>
    <t>количество</t>
  </si>
  <si>
    <t>высота</t>
  </si>
  <si>
    <t>ширина</t>
  </si>
  <si>
    <t>Размеры двери:</t>
  </si>
  <si>
    <t>Фурнитура:</t>
  </si>
  <si>
    <t>Саморез 4*16мм</t>
  </si>
  <si>
    <t>Саморез 3*20мм</t>
  </si>
  <si>
    <t>Уплотнитель нижней направляющей</t>
  </si>
  <si>
    <t>Полотно двери - плита толщиной 16мм:</t>
  </si>
  <si>
    <t>РЕЗУЛЬТАТ РАСЧЁТА</t>
  </si>
  <si>
    <t>ВВОД ИСХОДНЫХ ДАННЫХ ДЛЯ РАСЧЁТА</t>
  </si>
  <si>
    <r>
      <t>высота</t>
    </r>
    <r>
      <rPr>
        <sz val="8"/>
        <color theme="1"/>
        <rFont val="Calibri"/>
        <family val="2"/>
        <charset val="204"/>
        <scheme val="minor"/>
      </rPr>
      <t xml:space="preserve"> </t>
    </r>
    <r>
      <rPr>
        <u/>
        <sz val="8"/>
        <color theme="1"/>
        <rFont val="Calibri"/>
        <family val="2"/>
        <charset val="204"/>
        <scheme val="minor"/>
      </rPr>
      <t>общая</t>
    </r>
  </si>
  <si>
    <t xml:space="preserve">* по внутреннему проёму шкафа, зависит от наличия боковин и их толщины </t>
  </si>
  <si>
    <t>NOVA Комплект роликов ANV16</t>
  </si>
  <si>
    <t>NOVA Вертикальный профиль CKRU0487</t>
  </si>
  <si>
    <t>Направляющая верхняя CKRU0046</t>
  </si>
  <si>
    <t>Направляющая нижняя CKRU0009</t>
  </si>
  <si>
    <t>NOVA Кронштейн внутренний ANV16-01 + внешний ANV16-03**</t>
  </si>
  <si>
    <t>Врезная ручка (длина, количество ручек на 1 дверь)</t>
  </si>
  <si>
    <r>
      <rPr>
        <b/>
        <sz val="20"/>
        <color theme="1"/>
        <rFont val="Calibri"/>
        <family val="2"/>
        <charset val="204"/>
        <scheme val="minor"/>
      </rPr>
      <t xml:space="preserve">РАСЧЁТ ДВЕРЕЙ </t>
    </r>
    <r>
      <rPr>
        <b/>
        <sz val="20"/>
        <color theme="1"/>
        <rFont val="Candara"/>
        <family val="2"/>
        <charset val="204"/>
      </rPr>
      <t>ARISTO NOVA</t>
    </r>
  </si>
  <si>
    <t>Доводчик</t>
  </si>
  <si>
    <t>Верхний позиционер</t>
  </si>
  <si>
    <t>Количество доводчиков общее</t>
  </si>
  <si>
    <t>NOVA Рамка горизонтальная узкая CKRU0442</t>
  </si>
  <si>
    <t>NOVA Рамка средняя закрытая CKRU0486</t>
  </si>
  <si>
    <t>NOVA Рамка средняя открытая CKRU0485</t>
  </si>
  <si>
    <t>NOVA Торцевой профиль ручки CKRU0448</t>
  </si>
  <si>
    <t>Количество узких средних рамок в одной двери</t>
  </si>
  <si>
    <t>Количество широких средних рамок в одной двери</t>
  </si>
  <si>
    <t>NOVA Усилитель CKRU0480</t>
  </si>
  <si>
    <t>Для расчёта размеров и количества комплектующих введите данные в таблицу</t>
  </si>
  <si>
    <t xml:space="preserve"> </t>
  </si>
  <si>
    <t>Ширина проёма, перекрываемого дверями</t>
  </si>
  <si>
    <t>Количество перекрытий (перекрытие 12мм)</t>
  </si>
  <si>
    <t>Установка с видимой верхней направляющей</t>
  </si>
  <si>
    <t xml:space="preserve">РАСЧЁТ ДВЕРЕЙ ARISTO NOVA </t>
  </si>
  <si>
    <t>Установка со скрытой верхней направляющей в корпус</t>
  </si>
  <si>
    <t>Установка со скрытой верхней направляющей в проём</t>
  </si>
  <si>
    <r>
      <t xml:space="preserve">Высота </t>
    </r>
    <r>
      <rPr>
        <u/>
        <sz val="14"/>
        <color theme="1"/>
        <rFont val="Calibri"/>
        <family val="2"/>
        <charset val="204"/>
        <scheme val="minor"/>
      </rPr>
      <t>внутреннего</t>
    </r>
    <r>
      <rPr>
        <sz val="14"/>
        <color theme="1"/>
        <rFont val="Calibri"/>
        <family val="2"/>
        <scheme val="minor"/>
      </rPr>
      <t xml:space="preserve"> проёма шкафа</t>
    </r>
  </si>
  <si>
    <t>Толщина деталей корпуса шкафа 16мм</t>
  </si>
  <si>
    <t>**по 2 шт. на дверь, внутренние ANV16-01/внешние ANV16-03 - по расположению дверей. При монтаже доводчика требуется дополнительный кронштейн (доводчик устанавливается на 2 кронштейна).</t>
  </si>
  <si>
    <t>себестоим</t>
  </si>
  <si>
    <t>себестоим расчетная</t>
  </si>
  <si>
    <t>цена себ</t>
  </si>
  <si>
    <t>Саморез 3*20мм с потайной головкой</t>
  </si>
  <si>
    <t>Саморез 4*16мм с полукруглой головкой</t>
  </si>
  <si>
    <t>Саморез 3*10 с потайной головкой</t>
  </si>
  <si>
    <t>Саморез 3*10 с полукруглой головкой</t>
  </si>
  <si>
    <t>Цена с коэф 4,06</t>
  </si>
  <si>
    <t>AR-W-QL(10*4)/745 Уплотнитель
 полиуретановый, серый метр</t>
  </si>
  <si>
    <t>Шлегель в паз вертикального профиля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</si>
</sst>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#,##0&quot; мм&quot;"/>
    <numFmt numFmtId="165" formatCode="#,##0&quot; м&quot;"/>
    <numFmt numFmtId="166" formatCode="#,##0&quot; мм*&quot;"/>
    <numFmt numFmtId="167" formatCode="0.0"/>
    <numFmt numFmtId="168" formatCode="#,##0.0"/>
  </numFmts>
  <fonts count="1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charset val="204"/>
      <scheme val="minor"/>
    </font>
    <font>
      <b/>
      <u/>
      <sz val="14"/>
      <color theme="1"/>
      <name val="Calibri"/>
      <family val="2"/>
      <charset val="204"/>
      <scheme val="minor"/>
    </font>
    <font>
      <sz val="14"/>
      <color theme="1"/>
      <name val="Calibri"/>
      <family val="2"/>
      <charset val="204"/>
      <scheme val="minor"/>
    </font>
    <font>
      <b/>
      <sz val="20"/>
      <color theme="1"/>
      <name val="Candara"/>
      <family val="2"/>
      <charset val="204"/>
    </font>
    <font>
      <sz val="8"/>
      <color theme="1"/>
      <name val="Calibri"/>
      <family val="2"/>
      <charset val="204"/>
      <scheme val="minor"/>
    </font>
    <font>
      <u/>
      <sz val="8"/>
      <color theme="1"/>
      <name val="Calibri"/>
      <family val="2"/>
      <charset val="204"/>
      <scheme val="minor"/>
    </font>
    <font>
      <sz val="12"/>
      <color theme="1"/>
      <name val="Calibri"/>
      <family val="2"/>
      <scheme val="minor"/>
    </font>
    <font>
      <b/>
      <sz val="20"/>
      <color theme="1"/>
      <name val="Calibri"/>
      <family val="2"/>
      <charset val="204"/>
      <scheme val="minor"/>
    </font>
    <font>
      <u/>
      <sz val="14"/>
      <color theme="1"/>
      <name val="Calibri"/>
      <family val="2"/>
      <charset val="204"/>
      <scheme val="minor"/>
    </font>
    <font>
      <sz val="14"/>
      <color rgb="FFFF0000"/>
      <name val="Calibri"/>
      <family val="2"/>
      <charset val="204"/>
      <scheme val="minor"/>
    </font>
    <font>
      <sz val="14"/>
      <color rgb="FFFF0000"/>
      <name val="Calibri"/>
      <family val="2"/>
      <scheme val="minor"/>
    </font>
    <font>
      <b/>
      <u/>
      <sz val="14"/>
      <color rgb="FFFF0000"/>
      <name val="Calibri"/>
      <family val="2"/>
      <charset val="204"/>
      <scheme val="minor"/>
    </font>
    <font>
      <b/>
      <sz val="14"/>
      <color rgb="FFFF0000"/>
      <name val="Calibri"/>
      <family val="2"/>
      <charset val="204"/>
      <scheme val="minor"/>
    </font>
    <font>
      <sz val="14"/>
      <color theme="0" tint="-0.1499984740745262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</fills>
  <borders count="3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123">
    <xf numFmtId="0" fontId="0" fillId="0" borderId="0" xfId="0"/>
    <xf numFmtId="0" fontId="2" fillId="0" borderId="0" xfId="0" applyFont="1" applyAlignment="1">
      <alignment vertical="center"/>
    </xf>
    <xf numFmtId="0" fontId="2" fillId="0" borderId="0" xfId="0" applyFont="1" applyAlignment="1">
      <alignment horizontal="center" vertical="center"/>
    </xf>
    <xf numFmtId="0" fontId="2" fillId="0" borderId="0" xfId="0" applyFont="1" applyBorder="1" applyAlignment="1">
      <alignment vertical="center"/>
    </xf>
    <xf numFmtId="0" fontId="2" fillId="0" borderId="0" xfId="0" applyFont="1"/>
    <xf numFmtId="0" fontId="2" fillId="0" borderId="11" xfId="0" applyFont="1" applyBorder="1" applyAlignment="1">
      <alignment vertical="center"/>
    </xf>
    <xf numFmtId="0" fontId="2" fillId="0" borderId="13" xfId="0" applyFont="1" applyBorder="1" applyAlignment="1">
      <alignment vertical="center"/>
    </xf>
    <xf numFmtId="0" fontId="2" fillId="0" borderId="15" xfId="0" applyFont="1" applyBorder="1" applyAlignment="1">
      <alignment vertical="center"/>
    </xf>
    <xf numFmtId="0" fontId="2" fillId="2" borderId="5" xfId="0" applyFont="1" applyFill="1" applyBorder="1" applyAlignment="1">
      <alignment horizontal="center" vertical="center"/>
    </xf>
    <xf numFmtId="0" fontId="2" fillId="2" borderId="6" xfId="0" applyFont="1" applyFill="1" applyBorder="1" applyAlignment="1">
      <alignment horizontal="center" vertical="center"/>
    </xf>
    <xf numFmtId="0" fontId="4" fillId="2" borderId="10" xfId="0" applyFont="1" applyFill="1" applyBorder="1" applyAlignment="1">
      <alignment horizontal="left" vertical="center"/>
    </xf>
    <xf numFmtId="0" fontId="4" fillId="0" borderId="0" xfId="0" applyFont="1" applyFill="1" applyBorder="1" applyAlignment="1">
      <alignment horizontal="left" vertical="center"/>
    </xf>
    <xf numFmtId="0" fontId="3" fillId="0" borderId="0" xfId="0" applyNumberFormat="1" applyFont="1" applyFill="1" applyBorder="1" applyAlignment="1">
      <alignment horizontal="center" vertical="center"/>
    </xf>
    <xf numFmtId="0" fontId="2" fillId="0" borderId="0" xfId="0" applyFont="1" applyFill="1" applyAlignment="1">
      <alignment vertical="center"/>
    </xf>
    <xf numFmtId="0" fontId="0" fillId="0" borderId="0" xfId="0" applyFill="1" applyBorder="1" applyAlignment="1">
      <alignment vertical="center" wrapText="1"/>
    </xf>
    <xf numFmtId="0" fontId="5" fillId="0" borderId="18" xfId="0" applyFont="1" applyFill="1" applyBorder="1" applyAlignment="1">
      <alignment horizontal="left" vertical="center"/>
    </xf>
    <xf numFmtId="0" fontId="4" fillId="2" borderId="10" xfId="0" applyFont="1" applyFill="1" applyBorder="1" applyAlignment="1">
      <alignment vertical="center"/>
    </xf>
    <xf numFmtId="0" fontId="2" fillId="0" borderId="0" xfId="0" applyFont="1" applyFill="1"/>
    <xf numFmtId="0" fontId="2" fillId="0" borderId="0" xfId="0" applyFont="1" applyFill="1" applyBorder="1" applyAlignment="1">
      <alignment horizontal="center" vertical="center"/>
    </xf>
    <xf numFmtId="0" fontId="5" fillId="0" borderId="0" xfId="0" applyFont="1" applyFill="1" applyBorder="1"/>
    <xf numFmtId="0" fontId="2" fillId="2" borderId="8" xfId="0" applyFont="1" applyFill="1" applyBorder="1" applyAlignment="1">
      <alignment horizontal="center" vertical="center"/>
    </xf>
    <xf numFmtId="0" fontId="2" fillId="0" borderId="0" xfId="0" applyFont="1" applyBorder="1"/>
    <xf numFmtId="0" fontId="3" fillId="0" borderId="0" xfId="0" applyFont="1" applyFill="1" applyBorder="1" applyAlignment="1">
      <alignment horizontal="center" vertical="center" wrapText="1"/>
    </xf>
    <xf numFmtId="3" fontId="3" fillId="0" borderId="0" xfId="0" applyNumberFormat="1" applyFont="1" applyFill="1" applyBorder="1" applyAlignment="1">
      <alignment horizontal="center" vertical="center"/>
    </xf>
    <xf numFmtId="0" fontId="2" fillId="2" borderId="5" xfId="0" applyFont="1" applyFill="1" applyBorder="1" applyAlignment="1">
      <alignment horizontal="right" wrapText="1"/>
    </xf>
    <xf numFmtId="0" fontId="4" fillId="2" borderId="26" xfId="0" applyFont="1" applyFill="1" applyBorder="1" applyAlignment="1">
      <alignment horizontal="left" vertical="center"/>
    </xf>
    <xf numFmtId="0" fontId="4" fillId="2" borderId="27" xfId="0" applyFont="1" applyFill="1" applyBorder="1" applyAlignment="1">
      <alignment horizontal="left" vertical="center"/>
    </xf>
    <xf numFmtId="0" fontId="4" fillId="2" borderId="25" xfId="0" applyFont="1" applyFill="1" applyBorder="1" applyAlignment="1">
      <alignment horizontal="left" vertical="center" wrapText="1"/>
    </xf>
    <xf numFmtId="0" fontId="4" fillId="2" borderId="29" xfId="0" applyFont="1" applyFill="1" applyBorder="1" applyAlignment="1">
      <alignment horizontal="left" vertical="center"/>
    </xf>
    <xf numFmtId="0" fontId="12" fillId="0" borderId="30" xfId="0" applyFont="1" applyFill="1" applyBorder="1" applyAlignment="1">
      <alignment horizontal="right" vertical="center"/>
    </xf>
    <xf numFmtId="0" fontId="12" fillId="0" borderId="31" xfId="0" applyFont="1" applyBorder="1" applyAlignment="1">
      <alignment horizontal="right" vertical="center"/>
    </xf>
    <xf numFmtId="0" fontId="12" fillId="0" borderId="32" xfId="0" applyFont="1" applyBorder="1" applyAlignment="1">
      <alignment horizontal="right" vertical="center"/>
    </xf>
    <xf numFmtId="0" fontId="12" fillId="0" borderId="33" xfId="0" applyFont="1" applyBorder="1" applyAlignment="1">
      <alignment horizontal="right" vertical="center"/>
    </xf>
    <xf numFmtId="0" fontId="13" fillId="0" borderId="31" xfId="0" applyFont="1" applyBorder="1" applyAlignment="1">
      <alignment horizontal="right" vertical="center"/>
    </xf>
    <xf numFmtId="167" fontId="12" fillId="0" borderId="30" xfId="0" applyNumberFormat="1" applyFont="1" applyFill="1" applyBorder="1" applyAlignment="1">
      <alignment horizontal="right" vertical="center"/>
    </xf>
    <xf numFmtId="1" fontId="12" fillId="0" borderId="31" xfId="0" applyNumberFormat="1" applyFont="1" applyBorder="1" applyAlignment="1">
      <alignment horizontal="right" vertical="center"/>
    </xf>
    <xf numFmtId="0" fontId="2" fillId="0" borderId="0" xfId="0" applyFont="1" applyAlignment="1">
      <alignment wrapText="1"/>
    </xf>
    <xf numFmtId="0" fontId="13" fillId="0" borderId="0" xfId="0" applyFont="1"/>
    <xf numFmtId="3" fontId="3" fillId="0" borderId="0" xfId="0" applyNumberFormat="1" applyFont="1" applyBorder="1" applyAlignment="1">
      <alignment horizontal="center" vertical="center" wrapText="1"/>
    </xf>
    <xf numFmtId="3" fontId="0" fillId="0" borderId="0" xfId="0" applyNumberFormat="1" applyBorder="1" applyAlignment="1">
      <alignment horizontal="center" vertical="center" wrapText="1"/>
    </xf>
    <xf numFmtId="0" fontId="13" fillId="0" borderId="1" xfId="0" applyFont="1" applyBorder="1" applyAlignment="1">
      <alignment horizontal="right" vertical="center"/>
    </xf>
    <xf numFmtId="0" fontId="13" fillId="0" borderId="8" xfId="0" applyFont="1" applyBorder="1" applyAlignment="1">
      <alignment horizontal="right" vertical="center"/>
    </xf>
    <xf numFmtId="0" fontId="2" fillId="0" borderId="11" xfId="0" applyFont="1" applyFill="1" applyBorder="1" applyAlignment="1">
      <alignment vertical="center"/>
    </xf>
    <xf numFmtId="0" fontId="13" fillId="0" borderId="31" xfId="0" applyFont="1" applyFill="1" applyBorder="1" applyAlignment="1">
      <alignment horizontal="right" vertical="center"/>
    </xf>
    <xf numFmtId="0" fontId="14" fillId="2" borderId="29" xfId="0" applyFont="1" applyFill="1" applyBorder="1" applyAlignment="1">
      <alignment horizontal="left" vertical="center"/>
    </xf>
    <xf numFmtId="0" fontId="12" fillId="0" borderId="31" xfId="0" applyFont="1" applyBorder="1" applyAlignment="1">
      <alignment vertical="center"/>
    </xf>
    <xf numFmtId="0" fontId="12" fillId="0" borderId="32" xfId="0" applyFont="1" applyBorder="1" applyAlignment="1">
      <alignment vertical="center"/>
    </xf>
    <xf numFmtId="0" fontId="12" fillId="0" borderId="33" xfId="0" applyFont="1" applyBorder="1" applyAlignment="1">
      <alignment vertical="center"/>
    </xf>
    <xf numFmtId="0" fontId="12" fillId="0" borderId="0" xfId="0" applyFont="1" applyBorder="1" applyAlignment="1">
      <alignment vertical="center"/>
    </xf>
    <xf numFmtId="0" fontId="12" fillId="0" borderId="1" xfId="0" applyFont="1" applyBorder="1" applyAlignment="1">
      <alignment vertical="center"/>
    </xf>
    <xf numFmtId="0" fontId="12" fillId="0" borderId="8" xfId="0" applyFont="1" applyBorder="1" applyAlignment="1">
      <alignment vertical="center"/>
    </xf>
    <xf numFmtId="0" fontId="13" fillId="0" borderId="0" xfId="0" applyFont="1" applyBorder="1" applyAlignment="1">
      <alignment vertical="center"/>
    </xf>
    <xf numFmtId="0" fontId="14" fillId="2" borderId="29" xfId="0" applyFont="1" applyFill="1" applyBorder="1" applyAlignment="1">
      <alignment horizontal="center" vertical="center"/>
    </xf>
    <xf numFmtId="167" fontId="12" fillId="0" borderId="1" xfId="0" applyNumberFormat="1" applyFont="1" applyBorder="1" applyAlignment="1">
      <alignment vertical="center"/>
    </xf>
    <xf numFmtId="167" fontId="13" fillId="0" borderId="0" xfId="0" applyNumberFormat="1" applyFont="1" applyBorder="1" applyAlignment="1">
      <alignment vertical="center"/>
    </xf>
    <xf numFmtId="0" fontId="0" fillId="2" borderId="28" xfId="0" applyFill="1" applyBorder="1" applyAlignment="1">
      <alignment horizontal="left" vertical="center" wrapText="1"/>
    </xf>
    <xf numFmtId="0" fontId="12" fillId="0" borderId="0" xfId="0" applyFont="1" applyBorder="1" applyAlignment="1">
      <alignment horizontal="right" vertical="center"/>
    </xf>
    <xf numFmtId="0" fontId="14" fillId="2" borderId="5" xfId="0" applyFont="1" applyFill="1" applyBorder="1" applyAlignment="1">
      <alignment horizontal="right" vertical="center"/>
    </xf>
    <xf numFmtId="0" fontId="12" fillId="0" borderId="1" xfId="0" applyFont="1" applyBorder="1" applyAlignment="1">
      <alignment horizontal="right" vertical="center"/>
    </xf>
    <xf numFmtId="167" fontId="12" fillId="0" borderId="1" xfId="0" applyNumberFormat="1" applyFont="1" applyBorder="1" applyAlignment="1">
      <alignment horizontal="right" vertical="center"/>
    </xf>
    <xf numFmtId="0" fontId="14" fillId="0" borderId="0" xfId="0" applyFont="1" applyFill="1" applyBorder="1" applyAlignment="1">
      <alignment horizontal="left" vertical="center"/>
    </xf>
    <xf numFmtId="1" fontId="12" fillId="0" borderId="33" xfId="0" applyNumberFormat="1" applyFont="1" applyBorder="1" applyAlignment="1">
      <alignment horizontal="right" vertical="center"/>
    </xf>
    <xf numFmtId="0" fontId="2" fillId="0" borderId="11" xfId="0" applyFont="1" applyBorder="1" applyAlignment="1">
      <alignment vertical="center" wrapText="1"/>
    </xf>
    <xf numFmtId="3" fontId="15" fillId="0" borderId="0" xfId="0" applyNumberFormat="1" applyFont="1" applyBorder="1" applyAlignment="1">
      <alignment horizontal="center" vertical="center" wrapText="1"/>
    </xf>
    <xf numFmtId="164" fontId="3" fillId="3" borderId="8" xfId="0" applyNumberFormat="1" applyFont="1" applyFill="1" applyBorder="1" applyAlignment="1" applyProtection="1">
      <alignment horizontal="center" vertical="center"/>
      <protection locked="0"/>
    </xf>
    <xf numFmtId="0" fontId="3" fillId="3" borderId="9" xfId="0" applyFont="1" applyFill="1" applyBorder="1" applyAlignment="1" applyProtection="1">
      <alignment horizontal="center" vertical="center"/>
      <protection locked="0"/>
    </xf>
    <xf numFmtId="164" fontId="3" fillId="0" borderId="0" xfId="0" applyNumberFormat="1" applyFont="1" applyFill="1" applyBorder="1" applyAlignment="1" applyProtection="1">
      <alignment horizontal="center" vertical="center"/>
      <protection locked="0"/>
    </xf>
    <xf numFmtId="164" fontId="3" fillId="0" borderId="0" xfId="0" applyNumberFormat="1" applyFont="1" applyBorder="1" applyAlignment="1" applyProtection="1">
      <alignment horizontal="center" vertical="center"/>
      <protection locked="0"/>
    </xf>
    <xf numFmtId="0" fontId="3" fillId="0" borderId="20" xfId="0" applyFont="1" applyBorder="1" applyAlignment="1" applyProtection="1">
      <alignment horizontal="center" vertical="center"/>
      <protection locked="0"/>
    </xf>
    <xf numFmtId="0" fontId="16" fillId="0" borderId="0" xfId="0" applyFont="1" applyAlignment="1">
      <alignment vertical="center"/>
    </xf>
    <xf numFmtId="0" fontId="16" fillId="0" borderId="0" xfId="0" applyFont="1" applyAlignment="1" applyProtection="1">
      <alignment vertical="center"/>
      <protection hidden="1"/>
    </xf>
    <xf numFmtId="164" fontId="3" fillId="0" borderId="6" xfId="0" applyNumberFormat="1" applyFont="1" applyBorder="1" applyAlignment="1" applyProtection="1">
      <alignment horizontal="center" vertical="center"/>
    </xf>
    <xf numFmtId="164" fontId="3" fillId="0" borderId="9" xfId="0" applyNumberFormat="1" applyFont="1" applyBorder="1" applyAlignment="1" applyProtection="1">
      <alignment horizontal="center" vertical="center"/>
    </xf>
    <xf numFmtId="164" fontId="3" fillId="0" borderId="0" xfId="0" applyNumberFormat="1" applyFont="1" applyFill="1" applyBorder="1" applyAlignment="1" applyProtection="1">
      <alignment horizontal="center" vertical="center"/>
    </xf>
    <xf numFmtId="164" fontId="3" fillId="0" borderId="3" xfId="0" applyNumberFormat="1" applyFont="1" applyFill="1" applyBorder="1" applyAlignment="1" applyProtection="1">
      <alignment horizontal="center" vertical="center"/>
    </xf>
    <xf numFmtId="0" fontId="3" fillId="0" borderId="19" xfId="0" applyFont="1" applyFill="1" applyBorder="1" applyAlignment="1" applyProtection="1">
      <alignment horizontal="center" vertical="center"/>
    </xf>
    <xf numFmtId="164" fontId="3" fillId="0" borderId="1" xfId="0" applyNumberFormat="1" applyFont="1" applyBorder="1" applyAlignment="1" applyProtection="1">
      <alignment horizontal="center" vertical="center"/>
    </xf>
    <xf numFmtId="0" fontId="3" fillId="0" borderId="12" xfId="0" applyFont="1" applyBorder="1" applyAlignment="1" applyProtection="1">
      <alignment horizontal="center" vertical="center"/>
    </xf>
    <xf numFmtId="164" fontId="3" fillId="0" borderId="24" xfId="0" applyNumberFormat="1" applyFont="1" applyBorder="1" applyAlignment="1" applyProtection="1">
      <alignment horizontal="center" vertical="center"/>
    </xf>
    <xf numFmtId="0" fontId="3" fillId="0" borderId="23" xfId="0" applyFont="1" applyBorder="1" applyAlignment="1" applyProtection="1">
      <alignment horizontal="center" vertical="center"/>
    </xf>
    <xf numFmtId="164" fontId="3" fillId="0" borderId="8" xfId="0" applyNumberFormat="1" applyFont="1" applyBorder="1" applyAlignment="1" applyProtection="1">
      <alignment horizontal="center" vertical="center"/>
    </xf>
    <xf numFmtId="0" fontId="3" fillId="0" borderId="9" xfId="0" applyFont="1" applyBorder="1" applyAlignment="1" applyProtection="1">
      <alignment horizontal="center" vertical="center"/>
    </xf>
    <xf numFmtId="0" fontId="2" fillId="0" borderId="15" xfId="0" applyFont="1" applyFill="1" applyBorder="1" applyAlignment="1">
      <alignment vertical="center"/>
    </xf>
    <xf numFmtId="166" fontId="3" fillId="0" borderId="3" xfId="0" applyNumberFormat="1" applyFont="1" applyFill="1" applyBorder="1" applyAlignment="1" applyProtection="1">
      <alignment horizontal="center" vertical="center"/>
    </xf>
    <xf numFmtId="14" fontId="2" fillId="0" borderId="0" xfId="0" applyNumberFormat="1" applyFont="1" applyAlignment="1">
      <alignment horizontal="left"/>
    </xf>
    <xf numFmtId="165" fontId="3" fillId="0" borderId="2" xfId="0" applyNumberFormat="1" applyFont="1" applyBorder="1" applyAlignment="1" applyProtection="1">
      <alignment horizontal="center" vertical="center" wrapText="1"/>
    </xf>
    <xf numFmtId="165" fontId="3" fillId="0" borderId="14" xfId="0" applyNumberFormat="1" applyFont="1" applyBorder="1" applyAlignment="1" applyProtection="1">
      <alignment horizontal="center" vertical="center" wrapText="1"/>
    </xf>
    <xf numFmtId="3" fontId="3" fillId="0" borderId="2" xfId="0" applyNumberFormat="1" applyFont="1" applyBorder="1" applyAlignment="1" applyProtection="1">
      <alignment horizontal="center" vertical="center" wrapText="1"/>
    </xf>
    <xf numFmtId="3" fontId="3" fillId="0" borderId="14" xfId="0" applyNumberFormat="1" applyFont="1" applyBorder="1" applyAlignment="1" applyProtection="1">
      <alignment horizontal="center" vertical="center" wrapText="1"/>
    </xf>
    <xf numFmtId="3" fontId="3" fillId="0" borderId="34" xfId="0" applyNumberFormat="1" applyFont="1" applyBorder="1" applyAlignment="1" applyProtection="1">
      <alignment horizontal="center" vertical="center" wrapText="1"/>
    </xf>
    <xf numFmtId="3" fontId="3" fillId="0" borderId="35" xfId="0" applyNumberFormat="1" applyFont="1" applyBorder="1" applyAlignment="1" applyProtection="1">
      <alignment horizontal="center" vertical="center" wrapText="1"/>
    </xf>
    <xf numFmtId="0" fontId="6" fillId="2" borderId="0" xfId="0" applyFont="1" applyFill="1" applyAlignment="1">
      <alignment horizontal="center" vertical="center" wrapText="1"/>
    </xf>
    <xf numFmtId="165" fontId="3" fillId="0" borderId="1" xfId="0" applyNumberFormat="1" applyFont="1" applyBorder="1" applyAlignment="1" applyProtection="1">
      <alignment horizontal="center" vertical="center" wrapText="1"/>
    </xf>
    <xf numFmtId="165" fontId="0" fillId="0" borderId="12" xfId="0" applyNumberFormat="1" applyBorder="1" applyAlignment="1" applyProtection="1">
      <alignment horizontal="center" vertical="center" wrapText="1"/>
    </xf>
    <xf numFmtId="3" fontId="3" fillId="0" borderId="1" xfId="0" applyNumberFormat="1" applyFont="1" applyBorder="1" applyAlignment="1" applyProtection="1">
      <alignment horizontal="center" vertical="center" wrapText="1"/>
    </xf>
    <xf numFmtId="3" fontId="0" fillId="0" borderId="12" xfId="0" applyNumberFormat="1" applyBorder="1" applyAlignment="1" applyProtection="1">
      <alignment horizontal="center" vertical="center" wrapText="1"/>
    </xf>
    <xf numFmtId="3" fontId="3" fillId="0" borderId="1" xfId="0" applyNumberFormat="1" applyFont="1" applyFill="1" applyBorder="1" applyAlignment="1" applyProtection="1">
      <alignment horizontal="center" vertical="center" wrapText="1"/>
    </xf>
    <xf numFmtId="3" fontId="0" fillId="0" borderId="12" xfId="0" applyNumberFormat="1" applyFill="1" applyBorder="1" applyAlignment="1" applyProtection="1">
      <alignment horizontal="center" vertical="center" wrapText="1"/>
    </xf>
    <xf numFmtId="168" fontId="3" fillId="0" borderId="1" xfId="0" applyNumberFormat="1" applyFont="1" applyBorder="1" applyAlignment="1" applyProtection="1">
      <alignment horizontal="center" vertical="center" wrapText="1"/>
    </xf>
    <xf numFmtId="168" fontId="0" fillId="0" borderId="12" xfId="0" applyNumberFormat="1" applyBorder="1" applyAlignment="1" applyProtection="1">
      <alignment horizontal="center" vertical="center" wrapText="1"/>
    </xf>
    <xf numFmtId="164" fontId="3" fillId="3" borderId="2" xfId="0" applyNumberFormat="1" applyFont="1" applyFill="1" applyBorder="1" applyAlignment="1" applyProtection="1">
      <alignment horizontal="center" vertical="center"/>
      <protection locked="0"/>
    </xf>
    <xf numFmtId="164" fontId="3" fillId="3" borderId="14" xfId="0" applyNumberFormat="1" applyFont="1" applyFill="1" applyBorder="1" applyAlignment="1" applyProtection="1">
      <alignment horizontal="center" vertical="center"/>
      <protection locked="0"/>
    </xf>
    <xf numFmtId="0" fontId="3" fillId="3" borderId="2" xfId="0" applyNumberFormat="1" applyFont="1" applyFill="1" applyBorder="1" applyAlignment="1" applyProtection="1">
      <alignment horizontal="center" vertical="center"/>
      <protection locked="0"/>
    </xf>
    <xf numFmtId="0" fontId="3" fillId="3" borderId="14" xfId="0" applyNumberFormat="1" applyFont="1" applyFill="1" applyBorder="1" applyAlignment="1" applyProtection="1">
      <alignment horizontal="center" vertical="center"/>
      <protection locked="0"/>
    </xf>
    <xf numFmtId="0" fontId="3" fillId="3" borderId="2" xfId="0" applyFont="1" applyFill="1" applyBorder="1" applyAlignment="1" applyProtection="1">
      <alignment horizontal="center" vertical="center"/>
      <protection locked="0"/>
    </xf>
    <xf numFmtId="0" fontId="3" fillId="3" borderId="14" xfId="0" applyFont="1" applyFill="1" applyBorder="1" applyAlignment="1" applyProtection="1">
      <alignment horizontal="center" vertical="center"/>
      <protection locked="0"/>
    </xf>
    <xf numFmtId="0" fontId="3" fillId="3" borderId="16" xfId="0" applyFont="1" applyFill="1" applyBorder="1" applyAlignment="1" applyProtection="1">
      <alignment horizontal="center" vertical="center"/>
      <protection locked="0"/>
    </xf>
    <xf numFmtId="0" fontId="3" fillId="3" borderId="17" xfId="0" applyFont="1" applyFill="1" applyBorder="1" applyAlignment="1" applyProtection="1">
      <alignment horizontal="center" vertical="center"/>
      <protection locked="0"/>
    </xf>
    <xf numFmtId="0" fontId="4" fillId="2" borderId="4" xfId="0" applyFont="1" applyFill="1" applyBorder="1" applyAlignment="1">
      <alignment horizontal="left" vertical="center"/>
    </xf>
    <xf numFmtId="0" fontId="4" fillId="2" borderId="7" xfId="0" applyFont="1" applyFill="1" applyBorder="1" applyAlignment="1">
      <alignment horizontal="left" vertical="center"/>
    </xf>
    <xf numFmtId="0" fontId="6" fillId="2" borderId="0" xfId="0" applyFont="1" applyFill="1" applyBorder="1" applyAlignment="1">
      <alignment horizontal="center" vertical="center" wrapText="1"/>
    </xf>
    <xf numFmtId="0" fontId="6" fillId="0" borderId="0" xfId="0" applyFont="1" applyBorder="1" applyAlignment="1">
      <alignment horizontal="center" vertical="center" wrapText="1"/>
    </xf>
    <xf numFmtId="0" fontId="3" fillId="2" borderId="0" xfId="0" applyFont="1" applyFill="1" applyBorder="1" applyAlignment="1">
      <alignment horizontal="center" vertical="center" wrapText="1"/>
    </xf>
    <xf numFmtId="0" fontId="4" fillId="2" borderId="21" xfId="0" applyFont="1" applyFill="1" applyBorder="1" applyAlignment="1">
      <alignment horizontal="left" vertical="center" wrapText="1"/>
    </xf>
    <xf numFmtId="0" fontId="0" fillId="0" borderId="22" xfId="0" applyBorder="1" applyAlignment="1">
      <alignment horizontal="left" vertical="center" wrapText="1"/>
    </xf>
    <xf numFmtId="164" fontId="5" fillId="2" borderId="5" xfId="0" applyNumberFormat="1" applyFont="1" applyFill="1" applyBorder="1" applyAlignment="1" applyProtection="1">
      <alignment horizontal="center" vertical="center" wrapText="1"/>
      <protection locked="0"/>
    </xf>
    <xf numFmtId="0" fontId="1" fillId="2" borderId="6" xfId="0" applyFont="1" applyFill="1" applyBorder="1" applyAlignment="1" applyProtection="1">
      <alignment horizontal="center" vertical="center" wrapText="1"/>
      <protection locked="0"/>
    </xf>
    <xf numFmtId="0" fontId="9" fillId="0" borderId="0" xfId="0" applyFont="1" applyBorder="1" applyAlignment="1">
      <alignment vertical="center" wrapText="1"/>
    </xf>
    <xf numFmtId="0" fontId="0" fillId="0" borderId="0" xfId="0" applyAlignment="1">
      <alignment wrapText="1"/>
    </xf>
    <xf numFmtId="0" fontId="0" fillId="0" borderId="0" xfId="0" applyBorder="1" applyAlignment="1">
      <alignment vertical="center" wrapText="1"/>
    </xf>
    <xf numFmtId="3" fontId="3" fillId="0" borderId="12" xfId="0" applyNumberFormat="1" applyFont="1" applyBorder="1" applyAlignment="1" applyProtection="1">
      <alignment horizontal="center" vertical="center" wrapText="1"/>
    </xf>
    <xf numFmtId="3" fontId="3" fillId="0" borderId="8" xfId="0" applyNumberFormat="1" applyFont="1" applyBorder="1" applyAlignment="1" applyProtection="1">
      <alignment horizontal="center" vertical="center" wrapText="1"/>
    </xf>
    <xf numFmtId="3" fontId="3" fillId="0" borderId="9" xfId="0" applyNumberFormat="1" applyFont="1" applyBorder="1" applyAlignment="1" applyProtection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1848938</xdr:colOff>
      <xdr:row>16</xdr:row>
      <xdr:rowOff>108857</xdr:rowOff>
    </xdr:from>
    <xdr:to>
      <xdr:col>0</xdr:col>
      <xdr:colOff>3477825</xdr:colOff>
      <xdr:row>37</xdr:row>
      <xdr:rowOff>170701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8938" y="4218214"/>
          <a:ext cx="1628887" cy="5491094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417467</xdr:colOff>
      <xdr:row>18</xdr:row>
      <xdr:rowOff>27758</xdr:rowOff>
    </xdr:from>
    <xdr:to>
      <xdr:col>0</xdr:col>
      <xdr:colOff>3891642</xdr:colOff>
      <xdr:row>39</xdr:row>
      <xdr:rowOff>90821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7467" y="4626972"/>
          <a:ext cx="3474175" cy="5206563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857252</xdr:colOff>
      <xdr:row>16</xdr:row>
      <xdr:rowOff>95250</xdr:rowOff>
    </xdr:from>
    <xdr:to>
      <xdr:col>0</xdr:col>
      <xdr:colOff>4572002</xdr:colOff>
      <xdr:row>39</xdr:row>
      <xdr:rowOff>159316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2" y="4204607"/>
          <a:ext cx="3714750" cy="6037602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34"/>
  <sheetViews>
    <sheetView tabSelected="1" zoomScale="70" zoomScaleNormal="70" workbookViewId="0">
      <selection activeCell="E16" sqref="E16"/>
    </sheetView>
  </sheetViews>
  <sheetFormatPr defaultColWidth="9.140625" defaultRowHeight="18.75" x14ac:dyDescent="0.3"/>
  <cols>
    <col min="1" max="1" width="69.28515625" style="4" customWidth="1"/>
    <col min="2" max="3" width="14.7109375" style="2" customWidth="1"/>
    <col min="4" max="4" width="3.7109375" style="4" customWidth="1"/>
    <col min="5" max="5" width="89.5703125" style="4" bestFit="1" customWidth="1"/>
    <col min="6" max="6" width="12.85546875" style="4" hidden="1" customWidth="1"/>
    <col min="7" max="7" width="12.5703125" style="4" hidden="1" customWidth="1"/>
    <col min="8" max="8" width="12.42578125" style="4" hidden="1" customWidth="1"/>
    <col min="9" max="9" width="16.7109375" style="4" customWidth="1"/>
    <col min="10" max="10" width="13.42578125" style="4" customWidth="1"/>
    <col min="11" max="11" width="4.28515625" style="4" customWidth="1"/>
    <col min="12" max="16384" width="9.140625" style="4"/>
  </cols>
  <sheetData>
    <row r="1" spans="1:11" x14ac:dyDescent="0.3">
      <c r="A1" s="84"/>
    </row>
    <row r="2" spans="1:11" s="1" customFormat="1" ht="27.6" customHeight="1" x14ac:dyDescent="0.25">
      <c r="A2" s="91" t="s">
        <v>40</v>
      </c>
      <c r="B2" s="91"/>
      <c r="C2" s="91"/>
      <c r="D2" s="91"/>
      <c r="E2" s="91"/>
      <c r="F2" s="91"/>
      <c r="G2" s="91"/>
      <c r="H2" s="91"/>
      <c r="I2" s="91"/>
      <c r="J2" s="91"/>
    </row>
    <row r="3" spans="1:11" s="13" customFormat="1" ht="26.25" x14ac:dyDescent="0.25">
      <c r="A3" s="110" t="s">
        <v>39</v>
      </c>
      <c r="B3" s="110"/>
      <c r="C3" s="110"/>
      <c r="D3" s="111"/>
      <c r="E3" s="111"/>
      <c r="F3" s="111"/>
      <c r="G3" s="111"/>
      <c r="H3" s="111"/>
      <c r="I3" s="111"/>
      <c r="J3" s="111"/>
    </row>
    <row r="4" spans="1:11" s="13" customFormat="1" ht="20.100000000000001" customHeight="1" x14ac:dyDescent="0.3">
      <c r="A4" s="14"/>
      <c r="B4" s="14"/>
      <c r="C4" s="14"/>
      <c r="E4" s="17"/>
      <c r="F4" s="17"/>
      <c r="G4" s="17"/>
      <c r="H4" s="17"/>
      <c r="I4" s="17"/>
      <c r="J4" s="17"/>
    </row>
    <row r="5" spans="1:11" s="13" customFormat="1" ht="20.100000000000001" customHeight="1" x14ac:dyDescent="0.25">
      <c r="A5" s="112" t="s">
        <v>15</v>
      </c>
      <c r="B5" s="112"/>
      <c r="C5" s="112"/>
      <c r="E5" s="112" t="s">
        <v>14</v>
      </c>
      <c r="F5" s="112"/>
      <c r="G5" s="112"/>
      <c r="H5" s="112"/>
      <c r="I5" s="112"/>
      <c r="J5" s="112"/>
    </row>
    <row r="6" spans="1:11" s="1" customFormat="1" ht="20.100000000000001" customHeight="1" thickBot="1" x14ac:dyDescent="0.3">
      <c r="A6" s="22"/>
      <c r="B6" s="22"/>
      <c r="C6" s="22"/>
      <c r="D6" s="13"/>
      <c r="E6" s="22"/>
      <c r="F6" s="22"/>
      <c r="G6" s="22"/>
      <c r="H6" s="22"/>
      <c r="I6" s="22"/>
      <c r="J6" s="22"/>
    </row>
    <row r="7" spans="1:11" s="1" customFormat="1" ht="20.100000000000001" customHeight="1" x14ac:dyDescent="0.25">
      <c r="A7" s="5" t="s">
        <v>0</v>
      </c>
      <c r="B7" s="100">
        <v>2700</v>
      </c>
      <c r="C7" s="101"/>
      <c r="E7" s="108" t="s">
        <v>8</v>
      </c>
      <c r="F7" s="25"/>
      <c r="G7" s="25"/>
      <c r="H7" s="25"/>
      <c r="I7" s="8" t="s">
        <v>6</v>
      </c>
      <c r="J7" s="71">
        <f>B7-45</f>
        <v>2655</v>
      </c>
    </row>
    <row r="8" spans="1:11" s="1" customFormat="1" ht="20.100000000000001" customHeight="1" thickBot="1" x14ac:dyDescent="0.3">
      <c r="A8" s="5" t="s">
        <v>37</v>
      </c>
      <c r="B8" s="100">
        <v>1000</v>
      </c>
      <c r="C8" s="101"/>
      <c r="E8" s="109"/>
      <c r="F8" s="26"/>
      <c r="G8" s="26"/>
      <c r="H8" s="26"/>
      <c r="I8" s="20" t="s">
        <v>7</v>
      </c>
      <c r="J8" s="72">
        <f>(B8+B10*12)/B9</f>
        <v>506</v>
      </c>
    </row>
    <row r="9" spans="1:11" s="1" customFormat="1" ht="20.100000000000001" customHeight="1" thickBot="1" x14ac:dyDescent="0.3">
      <c r="A9" s="5" t="s">
        <v>1</v>
      </c>
      <c r="B9" s="102">
        <v>2</v>
      </c>
      <c r="C9" s="103"/>
      <c r="E9" s="11"/>
      <c r="F9" s="11"/>
      <c r="G9" s="11"/>
      <c r="H9" s="11"/>
      <c r="I9" s="18"/>
      <c r="J9" s="66"/>
    </row>
    <row r="10" spans="1:11" s="1" customFormat="1" ht="20.100000000000001" customHeight="1" x14ac:dyDescent="0.3">
      <c r="A10" s="5" t="s">
        <v>38</v>
      </c>
      <c r="B10" s="102">
        <v>1</v>
      </c>
      <c r="C10" s="103"/>
      <c r="E10" s="113" t="s">
        <v>13</v>
      </c>
      <c r="F10" s="27"/>
      <c r="G10" s="27"/>
      <c r="H10" s="27"/>
      <c r="I10" s="24" t="s">
        <v>16</v>
      </c>
      <c r="J10" s="71">
        <f>J7-1.6*B12-26*B13-3.3*2</f>
        <v>2645.2000000000003</v>
      </c>
      <c r="K10" s="3"/>
    </row>
    <row r="11" spans="1:11" s="1" customFormat="1" ht="20.100000000000001" customHeight="1" thickBot="1" x14ac:dyDescent="0.3">
      <c r="A11" s="7" t="s">
        <v>27</v>
      </c>
      <c r="B11" s="106">
        <v>0</v>
      </c>
      <c r="C11" s="107"/>
      <c r="E11" s="114"/>
      <c r="F11" s="55"/>
      <c r="G11" s="55"/>
      <c r="H11" s="55"/>
      <c r="I11" s="20" t="s">
        <v>7</v>
      </c>
      <c r="J11" s="72">
        <f>J8-1.6*2</f>
        <v>502.8</v>
      </c>
    </row>
    <row r="12" spans="1:11" s="1" customFormat="1" ht="20.100000000000001" customHeight="1" thickBot="1" x14ac:dyDescent="0.3">
      <c r="A12" s="42" t="s">
        <v>32</v>
      </c>
      <c r="B12" s="104">
        <v>2</v>
      </c>
      <c r="C12" s="105"/>
      <c r="E12" s="11"/>
      <c r="F12" s="11"/>
      <c r="G12" s="11"/>
      <c r="H12" s="11"/>
      <c r="I12" s="12"/>
      <c r="J12" s="23"/>
    </row>
    <row r="13" spans="1:11" s="1" customFormat="1" ht="20.100000000000001" customHeight="1" x14ac:dyDescent="0.25">
      <c r="A13" s="82" t="s">
        <v>33</v>
      </c>
      <c r="B13" s="106">
        <v>0</v>
      </c>
      <c r="C13" s="107"/>
      <c r="E13" s="10" t="s">
        <v>3</v>
      </c>
      <c r="F13" s="44" t="s">
        <v>48</v>
      </c>
      <c r="G13" s="44" t="s">
        <v>47</v>
      </c>
      <c r="H13" s="52" t="s">
        <v>53</v>
      </c>
      <c r="I13" s="8" t="s">
        <v>4</v>
      </c>
      <c r="J13" s="9" t="s">
        <v>5</v>
      </c>
    </row>
    <row r="14" spans="1:11" s="1" customFormat="1" ht="20.100000000000001" customHeight="1" thickBot="1" x14ac:dyDescent="0.3">
      <c r="A14" s="6" t="s">
        <v>23</v>
      </c>
      <c r="B14" s="64">
        <v>140</v>
      </c>
      <c r="C14" s="65">
        <v>1</v>
      </c>
      <c r="E14" s="15" t="s">
        <v>20</v>
      </c>
      <c r="F14" s="29">
        <v>1352</v>
      </c>
      <c r="G14" s="34">
        <f>F14/5400*((I14*5/100)+I14)*J14</f>
        <v>262.3631111111111</v>
      </c>
      <c r="H14" s="34">
        <f>G14*4.06</f>
        <v>1065.1942311111109</v>
      </c>
      <c r="I14" s="74">
        <f>B8-2</f>
        <v>998</v>
      </c>
      <c r="J14" s="75">
        <v>1</v>
      </c>
    </row>
    <row r="15" spans="1:11" s="1" customFormat="1" ht="20.100000000000001" customHeight="1" x14ac:dyDescent="0.25">
      <c r="C15" s="69"/>
      <c r="E15" s="15" t="s">
        <v>21</v>
      </c>
      <c r="F15" s="29">
        <v>636.4</v>
      </c>
      <c r="G15" s="34">
        <f>F15/5400*((I15*5/100)+I15)*J15</f>
        <v>123.49695555555556</v>
      </c>
      <c r="H15" s="34">
        <f t="shared" ref="H15:H21" si="0">G15*4.06</f>
        <v>501.39763955555554</v>
      </c>
      <c r="I15" s="74">
        <f>B8-2</f>
        <v>998</v>
      </c>
      <c r="J15" s="75">
        <v>1</v>
      </c>
    </row>
    <row r="16" spans="1:11" s="1" customFormat="1" ht="20.100000000000001" customHeight="1" x14ac:dyDescent="0.25">
      <c r="A16" s="1" t="s">
        <v>35</v>
      </c>
      <c r="E16" s="5" t="s">
        <v>19</v>
      </c>
      <c r="F16" s="30">
        <v>357.5</v>
      </c>
      <c r="G16" s="30">
        <f>F16*J16</f>
        <v>1430</v>
      </c>
      <c r="H16" s="34">
        <f t="shared" si="0"/>
        <v>5805.7999999999993</v>
      </c>
      <c r="I16" s="76">
        <f>J7</f>
        <v>2655</v>
      </c>
      <c r="J16" s="77">
        <f>B9*2</f>
        <v>4</v>
      </c>
    </row>
    <row r="17" spans="1:11" s="1" customFormat="1" ht="20.100000000000001" customHeight="1" x14ac:dyDescent="0.25">
      <c r="E17" s="5" t="s">
        <v>28</v>
      </c>
      <c r="F17" s="30">
        <v>165</v>
      </c>
      <c r="G17" s="35">
        <f>(I17*J17/5400)*F17</f>
        <v>121.24444444444444</v>
      </c>
      <c r="H17" s="34">
        <f t="shared" si="0"/>
        <v>492.25244444444439</v>
      </c>
      <c r="I17" s="76">
        <f>J8-2*5</f>
        <v>496</v>
      </c>
      <c r="J17" s="77">
        <f>(B12+2)*B9</f>
        <v>8</v>
      </c>
    </row>
    <row r="18" spans="1:11" s="1" customFormat="1" ht="20.100000000000001" customHeight="1" x14ac:dyDescent="0.25">
      <c r="E18" s="5" t="s">
        <v>29</v>
      </c>
      <c r="F18" s="30">
        <v>731.5</v>
      </c>
      <c r="G18" s="35">
        <f>(I18*J18/5400)*F18</f>
        <v>0</v>
      </c>
      <c r="H18" s="34">
        <f t="shared" si="0"/>
        <v>0</v>
      </c>
      <c r="I18" s="76">
        <f>I17-B14*C14</f>
        <v>356</v>
      </c>
      <c r="J18" s="77">
        <f>B13*B9</f>
        <v>0</v>
      </c>
    </row>
    <row r="19" spans="1:11" s="1" customFormat="1" ht="20.100000000000001" customHeight="1" x14ac:dyDescent="0.25">
      <c r="E19" s="7" t="s">
        <v>30</v>
      </c>
      <c r="F19" s="31">
        <v>704</v>
      </c>
      <c r="G19" s="35">
        <f t="shared" ref="G19:G21" si="1">(I19*J19/5400)*F19</f>
        <v>36.5037037037037</v>
      </c>
      <c r="H19" s="34">
        <f t="shared" si="0"/>
        <v>148.20503703703702</v>
      </c>
      <c r="I19" s="78">
        <f>B14</f>
        <v>140</v>
      </c>
      <c r="J19" s="79">
        <f>C14*B9</f>
        <v>2</v>
      </c>
    </row>
    <row r="20" spans="1:11" s="1" customFormat="1" ht="20.100000000000001" customHeight="1" x14ac:dyDescent="0.25">
      <c r="A20" s="1" t="s">
        <v>36</v>
      </c>
      <c r="E20" s="7" t="s">
        <v>31</v>
      </c>
      <c r="F20" s="31">
        <v>236.5</v>
      </c>
      <c r="G20" s="35">
        <f t="shared" si="1"/>
        <v>4.0292592592592591</v>
      </c>
      <c r="H20" s="34">
        <f t="shared" si="0"/>
        <v>16.358792592592589</v>
      </c>
      <c r="I20" s="78">
        <v>23</v>
      </c>
      <c r="J20" s="79">
        <f>C14*2*B9</f>
        <v>4</v>
      </c>
    </row>
    <row r="21" spans="1:11" s="1" customFormat="1" ht="20.100000000000001" customHeight="1" thickBot="1" x14ac:dyDescent="0.3">
      <c r="E21" s="6" t="s">
        <v>34</v>
      </c>
      <c r="F21" s="32">
        <v>561</v>
      </c>
      <c r="G21" s="35">
        <f t="shared" si="1"/>
        <v>191.57111111111112</v>
      </c>
      <c r="H21" s="34">
        <f t="shared" si="0"/>
        <v>777.77871111111108</v>
      </c>
      <c r="I21" s="80">
        <f>J8-45</f>
        <v>461</v>
      </c>
      <c r="J21" s="81">
        <f>(B13+B12)*B9</f>
        <v>4</v>
      </c>
    </row>
    <row r="22" spans="1:11" s="1" customFormat="1" ht="20.100000000000001" customHeight="1" thickBot="1" x14ac:dyDescent="0.3">
      <c r="E22" s="3"/>
      <c r="F22" s="3"/>
      <c r="G22" s="3"/>
      <c r="H22" s="3"/>
      <c r="I22" s="67"/>
      <c r="J22" s="68"/>
    </row>
    <row r="23" spans="1:11" s="1" customFormat="1" ht="20.100000000000001" customHeight="1" x14ac:dyDescent="0.25">
      <c r="E23" s="16" t="s">
        <v>9</v>
      </c>
      <c r="F23" s="44" t="s">
        <v>46</v>
      </c>
      <c r="G23" s="44" t="s">
        <v>47</v>
      </c>
      <c r="H23" s="28"/>
      <c r="I23" s="115" t="s">
        <v>5</v>
      </c>
      <c r="J23" s="116"/>
    </row>
    <row r="24" spans="1:11" s="1" customFormat="1" ht="20.100000000000001" customHeight="1" x14ac:dyDescent="0.25">
      <c r="E24" s="5" t="s">
        <v>18</v>
      </c>
      <c r="F24" s="33">
        <v>216</v>
      </c>
      <c r="G24" s="33">
        <f>F24*I24</f>
        <v>432</v>
      </c>
      <c r="H24" s="34">
        <f t="shared" ref="H24:H33" si="2">G24*4.06</f>
        <v>1753.9199999999998</v>
      </c>
      <c r="I24" s="98">
        <f>IF(J8&gt;=1000,B9*1.5,B9)</f>
        <v>2</v>
      </c>
      <c r="J24" s="99"/>
    </row>
    <row r="25" spans="1:11" s="1" customFormat="1" ht="20.100000000000001" customHeight="1" x14ac:dyDescent="0.25">
      <c r="E25" s="5" t="s">
        <v>25</v>
      </c>
      <c r="F25" s="33">
        <v>528</v>
      </c>
      <c r="G25" s="33">
        <f>F25*I25</f>
        <v>0</v>
      </c>
      <c r="H25" s="34">
        <f t="shared" si="2"/>
        <v>0</v>
      </c>
      <c r="I25" s="94">
        <f>B11</f>
        <v>0</v>
      </c>
      <c r="J25" s="95"/>
    </row>
    <row r="26" spans="1:11" s="1" customFormat="1" ht="20.100000000000001" customHeight="1" x14ac:dyDescent="0.25">
      <c r="E26" s="5" t="s">
        <v>26</v>
      </c>
      <c r="F26" s="33">
        <v>32.92</v>
      </c>
      <c r="G26" s="33">
        <f>F26*I26</f>
        <v>131.68</v>
      </c>
      <c r="H26" s="34">
        <f t="shared" si="2"/>
        <v>534.62080000000003</v>
      </c>
      <c r="I26" s="94">
        <f>B9*2-B11</f>
        <v>4</v>
      </c>
      <c r="J26" s="95"/>
    </row>
    <row r="27" spans="1:11" ht="20.100000000000001" customHeight="1" x14ac:dyDescent="0.3">
      <c r="A27" s="1"/>
      <c r="B27" s="1"/>
      <c r="C27" s="1"/>
      <c r="D27" s="1"/>
      <c r="E27" s="5" t="s">
        <v>55</v>
      </c>
      <c r="F27" s="33">
        <v>6.56</v>
      </c>
      <c r="G27" s="33">
        <f>F27*I27</f>
        <v>72.16</v>
      </c>
      <c r="H27" s="34">
        <f t="shared" si="2"/>
        <v>292.96959999999996</v>
      </c>
      <c r="I27" s="92">
        <f>CEILING(J16*J7/1000,1)</f>
        <v>11</v>
      </c>
      <c r="J27" s="93"/>
      <c r="K27" s="21"/>
    </row>
    <row r="28" spans="1:11" ht="20.100000000000001" customHeight="1" x14ac:dyDescent="0.3">
      <c r="A28" s="1"/>
      <c r="B28" s="1"/>
      <c r="C28" s="1"/>
      <c r="D28" s="1"/>
      <c r="E28" s="5" t="s">
        <v>12</v>
      </c>
      <c r="F28" s="33">
        <v>9.0500000000000007</v>
      </c>
      <c r="G28" s="33">
        <f t="shared" ref="G28:G33" si="3">F28*I28</f>
        <v>18.100000000000001</v>
      </c>
      <c r="H28" s="34">
        <f t="shared" si="2"/>
        <v>73.486000000000004</v>
      </c>
      <c r="I28" s="92">
        <f>CEILING(I15*2/1000,1)</f>
        <v>2</v>
      </c>
      <c r="J28" s="93"/>
    </row>
    <row r="29" spans="1:11" ht="42" customHeight="1" x14ac:dyDescent="0.3">
      <c r="A29" s="1"/>
      <c r="B29" s="1"/>
      <c r="C29" s="1"/>
      <c r="D29" s="1"/>
      <c r="E29" s="62" t="s">
        <v>54</v>
      </c>
      <c r="F29" s="33">
        <v>22</v>
      </c>
      <c r="G29" s="33">
        <f t="shared" si="3"/>
        <v>233.64</v>
      </c>
      <c r="H29" s="34">
        <f t="shared" si="2"/>
        <v>948.57839999999987</v>
      </c>
      <c r="I29" s="85">
        <f>J16*J7/1000</f>
        <v>10.62</v>
      </c>
      <c r="J29" s="86"/>
    </row>
    <row r="30" spans="1:11" ht="20.100000000000001" customHeight="1" x14ac:dyDescent="0.3">
      <c r="A30" s="1"/>
      <c r="B30" s="1"/>
      <c r="C30" s="1"/>
      <c r="D30" s="1"/>
      <c r="E30" s="5" t="s">
        <v>49</v>
      </c>
      <c r="F30" s="33">
        <v>0.8</v>
      </c>
      <c r="G30" s="33">
        <f t="shared" si="3"/>
        <v>12.697600000000001</v>
      </c>
      <c r="H30" s="34">
        <f t="shared" si="2"/>
        <v>51.552256</v>
      </c>
      <c r="I30" s="94">
        <f>I17*J17/250</f>
        <v>15.872</v>
      </c>
      <c r="J30" s="95"/>
    </row>
    <row r="31" spans="1:11" ht="20.100000000000001" customHeight="1" x14ac:dyDescent="0.3">
      <c r="A31" s="1"/>
      <c r="B31" s="1"/>
      <c r="C31" s="1"/>
      <c r="D31" s="1"/>
      <c r="E31" s="42" t="s">
        <v>50</v>
      </c>
      <c r="F31" s="43">
        <v>0.39</v>
      </c>
      <c r="G31" s="43">
        <f t="shared" si="3"/>
        <v>34.800479999999993</v>
      </c>
      <c r="H31" s="34">
        <f t="shared" si="2"/>
        <v>141.28994879999996</v>
      </c>
      <c r="I31" s="96">
        <f>16*B9+I16*J16/250+I21*J21/250*2</f>
        <v>89.231999999999985</v>
      </c>
      <c r="J31" s="97"/>
    </row>
    <row r="32" spans="1:11" ht="20.100000000000001" customHeight="1" x14ac:dyDescent="0.3">
      <c r="A32" s="1"/>
      <c r="B32" s="1"/>
      <c r="C32" s="1"/>
      <c r="D32" s="1"/>
      <c r="E32" s="5" t="s">
        <v>51</v>
      </c>
      <c r="F32" s="40">
        <v>0.31</v>
      </c>
      <c r="G32" s="33">
        <f t="shared" si="3"/>
        <v>1.24</v>
      </c>
      <c r="H32" s="34">
        <f t="shared" si="2"/>
        <v>5.0343999999999998</v>
      </c>
      <c r="I32" s="87">
        <v>4</v>
      </c>
      <c r="J32" s="88"/>
    </row>
    <row r="33" spans="1:10" ht="20.100000000000001" customHeight="1" thickBot="1" x14ac:dyDescent="0.35">
      <c r="A33" s="1"/>
      <c r="B33" s="1"/>
      <c r="C33" s="1"/>
      <c r="D33" s="1"/>
      <c r="E33" s="6" t="s">
        <v>52</v>
      </c>
      <c r="F33" s="41">
        <v>0.31</v>
      </c>
      <c r="G33" s="33">
        <f t="shared" si="3"/>
        <v>0.62</v>
      </c>
      <c r="H33" s="34">
        <f t="shared" si="2"/>
        <v>2.5171999999999999</v>
      </c>
      <c r="I33" s="89">
        <v>2</v>
      </c>
      <c r="J33" s="90"/>
    </row>
    <row r="34" spans="1:10" ht="20.100000000000001" customHeight="1" x14ac:dyDescent="0.3">
      <c r="A34" s="19"/>
      <c r="B34" s="19"/>
      <c r="C34" s="4"/>
    </row>
  </sheetData>
  <sheetProtection password="CC59" sheet="1" objects="1" scenarios="1"/>
  <mergeCells count="24">
    <mergeCell ref="I23:J23"/>
    <mergeCell ref="B13:C13"/>
    <mergeCell ref="E7:E8"/>
    <mergeCell ref="B11:C11"/>
    <mergeCell ref="A3:J3"/>
    <mergeCell ref="A5:C5"/>
    <mergeCell ref="E5:J5"/>
    <mergeCell ref="E10:E11"/>
    <mergeCell ref="I29:J29"/>
    <mergeCell ref="I32:J32"/>
    <mergeCell ref="I33:J33"/>
    <mergeCell ref="A2:J2"/>
    <mergeCell ref="I27:J27"/>
    <mergeCell ref="I28:J28"/>
    <mergeCell ref="I30:J30"/>
    <mergeCell ref="I31:J31"/>
    <mergeCell ref="I25:J25"/>
    <mergeCell ref="I24:J24"/>
    <mergeCell ref="I26:J26"/>
    <mergeCell ref="B7:C7"/>
    <mergeCell ref="B8:C8"/>
    <mergeCell ref="B9:C9"/>
    <mergeCell ref="B10:C10"/>
    <mergeCell ref="B12:C12"/>
  </mergeCells>
  <dataValidations count="5">
    <dataValidation type="whole" allowBlank="1" showInputMessage="1" showErrorMessage="1" sqref="B10:C10">
      <formula1>1</formula1>
      <formula2>4</formula2>
    </dataValidation>
    <dataValidation type="whole" allowBlank="1" showInputMessage="1" showErrorMessage="1" sqref="C14">
      <formula1>0</formula1>
      <formula2>2</formula2>
    </dataValidation>
    <dataValidation type="whole" allowBlank="1" showInputMessage="1" showErrorMessage="1" sqref="B9:C9">
      <formula1>1</formula1>
      <formula2>5</formula2>
    </dataValidation>
    <dataValidation type="whole" operator="greaterThan" allowBlank="1" showInputMessage="1" showErrorMessage="1" sqref="B12:C13">
      <formula1>-1</formula1>
    </dataValidation>
    <dataValidation type="whole" allowBlank="1" showInputMessage="1" showErrorMessage="1" sqref="B11:C11">
      <formula1>-1</formula1>
      <formula2>B9*2</formula2>
    </dataValidation>
  </dataValidations>
  <printOptions horizontalCentered="1"/>
  <pageMargins left="0.39370078740157483" right="0.39370078740157483" top="0.39370078740157483" bottom="0.39370078740157483" header="0" footer="0"/>
  <pageSetup paperSize="9" scale="61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41"/>
  <sheetViews>
    <sheetView zoomScale="70" zoomScaleNormal="70" workbookViewId="0">
      <selection activeCell="E18" sqref="E18"/>
    </sheetView>
  </sheetViews>
  <sheetFormatPr defaultColWidth="9.140625" defaultRowHeight="18.75" x14ac:dyDescent="0.3"/>
  <cols>
    <col min="1" max="1" width="64" style="4" customWidth="1"/>
    <col min="2" max="3" width="14.7109375" style="2" customWidth="1"/>
    <col min="4" max="4" width="1.42578125" style="4" customWidth="1"/>
    <col min="5" max="5" width="89.5703125" style="4" bestFit="1" customWidth="1"/>
    <col min="6" max="6" width="14.28515625" style="4" hidden="1" customWidth="1"/>
    <col min="7" max="7" width="16.42578125" style="4" hidden="1" customWidth="1"/>
    <col min="8" max="8" width="20.7109375" style="4" hidden="1" customWidth="1"/>
    <col min="9" max="9" width="16.7109375" style="4" customWidth="1"/>
    <col min="10" max="10" width="13.42578125" style="4" customWidth="1"/>
    <col min="11" max="16384" width="9.140625" style="4"/>
  </cols>
  <sheetData>
    <row r="1" spans="1:10" x14ac:dyDescent="0.3">
      <c r="A1" s="84"/>
    </row>
    <row r="2" spans="1:10" s="1" customFormat="1" ht="26.25" x14ac:dyDescent="0.25">
      <c r="A2" s="110" t="s">
        <v>24</v>
      </c>
      <c r="B2" s="110"/>
      <c r="C2" s="110"/>
      <c r="D2" s="111"/>
      <c r="E2" s="111"/>
      <c r="F2" s="111"/>
      <c r="G2" s="111"/>
      <c r="H2" s="111"/>
      <c r="I2" s="111"/>
      <c r="J2" s="111"/>
    </row>
    <row r="3" spans="1:10" s="13" customFormat="1" ht="26.25" x14ac:dyDescent="0.25">
      <c r="A3" s="110" t="s">
        <v>41</v>
      </c>
      <c r="B3" s="110"/>
      <c r="C3" s="110"/>
      <c r="D3" s="111"/>
      <c r="E3" s="111"/>
      <c r="F3" s="111"/>
      <c r="G3" s="111"/>
      <c r="H3" s="111"/>
      <c r="I3" s="111"/>
      <c r="J3" s="111"/>
    </row>
    <row r="4" spans="1:10" s="13" customFormat="1" x14ac:dyDescent="0.3">
      <c r="A4" s="14"/>
      <c r="B4" s="14"/>
      <c r="C4" s="14"/>
      <c r="E4" s="17"/>
      <c r="F4" s="17"/>
      <c r="G4" s="17"/>
      <c r="H4" s="17"/>
      <c r="I4" s="17"/>
      <c r="J4" s="17"/>
    </row>
    <row r="5" spans="1:10" s="13" customFormat="1" ht="20.100000000000001" customHeight="1" x14ac:dyDescent="0.25">
      <c r="A5" s="112" t="s">
        <v>15</v>
      </c>
      <c r="B5" s="112"/>
      <c r="C5" s="112"/>
      <c r="E5" s="112" t="s">
        <v>14</v>
      </c>
      <c r="F5" s="112"/>
      <c r="G5" s="112"/>
      <c r="H5" s="112"/>
      <c r="I5" s="112"/>
      <c r="J5" s="112"/>
    </row>
    <row r="6" spans="1:10" s="13" customFormat="1" ht="20.100000000000001" customHeight="1" thickBot="1" x14ac:dyDescent="0.3">
      <c r="A6" s="22"/>
      <c r="B6" s="22"/>
      <c r="C6" s="22"/>
      <c r="E6" s="22"/>
      <c r="F6" s="22"/>
      <c r="G6" s="22"/>
      <c r="H6" s="22"/>
      <c r="I6" s="22"/>
      <c r="J6" s="22"/>
    </row>
    <row r="7" spans="1:10" s="1" customFormat="1" ht="20.100000000000001" customHeight="1" x14ac:dyDescent="0.25">
      <c r="A7" s="5" t="s">
        <v>43</v>
      </c>
      <c r="B7" s="100">
        <v>2500</v>
      </c>
      <c r="C7" s="101"/>
      <c r="E7" s="108" t="s">
        <v>8</v>
      </c>
      <c r="F7" s="25"/>
      <c r="G7" s="25"/>
      <c r="H7" s="25"/>
      <c r="I7" s="8" t="s">
        <v>6</v>
      </c>
      <c r="J7" s="71">
        <f>B7-10+16</f>
        <v>2506</v>
      </c>
    </row>
    <row r="8" spans="1:10" s="1" customFormat="1" ht="20.100000000000001" customHeight="1" thickBot="1" x14ac:dyDescent="0.3">
      <c r="A8" s="5" t="s">
        <v>37</v>
      </c>
      <c r="B8" s="100">
        <v>1000</v>
      </c>
      <c r="C8" s="101"/>
      <c r="E8" s="109"/>
      <c r="F8" s="26"/>
      <c r="G8" s="26"/>
      <c r="H8" s="26"/>
      <c r="I8" s="20" t="s">
        <v>7</v>
      </c>
      <c r="J8" s="72">
        <f>(B8+B10*12)/B9</f>
        <v>506</v>
      </c>
    </row>
    <row r="9" spans="1:10" s="1" customFormat="1" ht="20.100000000000001" customHeight="1" thickBot="1" x14ac:dyDescent="0.3">
      <c r="A9" s="5" t="s">
        <v>1</v>
      </c>
      <c r="B9" s="102">
        <v>2</v>
      </c>
      <c r="C9" s="103"/>
      <c r="E9" s="11"/>
      <c r="F9" s="11"/>
      <c r="G9" s="11"/>
      <c r="H9" s="11"/>
      <c r="I9" s="18"/>
      <c r="J9" s="73"/>
    </row>
    <row r="10" spans="1:10" s="1" customFormat="1" ht="20.100000000000001" customHeight="1" x14ac:dyDescent="0.3">
      <c r="A10" s="5" t="s">
        <v>2</v>
      </c>
      <c r="B10" s="102">
        <v>1</v>
      </c>
      <c r="C10" s="103"/>
      <c r="E10" s="113" t="s">
        <v>13</v>
      </c>
      <c r="F10" s="27"/>
      <c r="G10" s="27"/>
      <c r="H10" s="27"/>
      <c r="I10" s="24" t="s">
        <v>16</v>
      </c>
      <c r="J10" s="71">
        <f>J7-1.6*B12-26*B13-3.3*2</f>
        <v>2499.4</v>
      </c>
    </row>
    <row r="11" spans="1:10" s="1" customFormat="1" ht="20.100000000000001" customHeight="1" thickBot="1" x14ac:dyDescent="0.3">
      <c r="A11" s="7" t="s">
        <v>27</v>
      </c>
      <c r="B11" s="106">
        <v>0</v>
      </c>
      <c r="C11" s="107"/>
      <c r="E11" s="114"/>
      <c r="F11" s="55"/>
      <c r="G11" s="55"/>
      <c r="H11" s="55"/>
      <c r="I11" s="20" t="s">
        <v>7</v>
      </c>
      <c r="J11" s="72">
        <f>J8-1.6*2</f>
        <v>502.8</v>
      </c>
    </row>
    <row r="12" spans="1:10" s="1" customFormat="1" ht="20.100000000000001" customHeight="1" thickBot="1" x14ac:dyDescent="0.3">
      <c r="A12" s="42" t="s">
        <v>32</v>
      </c>
      <c r="B12" s="104">
        <v>0</v>
      </c>
      <c r="C12" s="105"/>
      <c r="E12" s="11"/>
      <c r="F12" s="11"/>
      <c r="G12" s="11"/>
      <c r="H12" s="11"/>
      <c r="I12" s="12"/>
      <c r="J12" s="23"/>
    </row>
    <row r="13" spans="1:10" s="1" customFormat="1" ht="20.100000000000001" customHeight="1" x14ac:dyDescent="0.25">
      <c r="A13" s="82" t="s">
        <v>33</v>
      </c>
      <c r="B13" s="106">
        <v>0</v>
      </c>
      <c r="C13" s="107"/>
      <c r="E13" s="10" t="s">
        <v>3</v>
      </c>
      <c r="F13" s="44" t="s">
        <v>48</v>
      </c>
      <c r="G13" s="44" t="s">
        <v>47</v>
      </c>
      <c r="H13" s="52" t="s">
        <v>53</v>
      </c>
      <c r="I13" s="8" t="s">
        <v>4</v>
      </c>
      <c r="J13" s="9" t="s">
        <v>5</v>
      </c>
    </row>
    <row r="14" spans="1:10" s="1" customFormat="1" ht="20.100000000000001" customHeight="1" thickBot="1" x14ac:dyDescent="0.3">
      <c r="A14" s="6" t="s">
        <v>23</v>
      </c>
      <c r="B14" s="64">
        <v>140</v>
      </c>
      <c r="C14" s="65">
        <v>1</v>
      </c>
      <c r="E14" s="15" t="s">
        <v>20</v>
      </c>
      <c r="F14" s="29">
        <v>1352</v>
      </c>
      <c r="G14" s="34">
        <f>F14/5400*((I14*5/100)+I14)*J14</f>
        <v>253.95066666666665</v>
      </c>
      <c r="H14" s="34">
        <f>G14*4.06</f>
        <v>1031.0397066666665</v>
      </c>
      <c r="I14" s="83">
        <f>B8-2-32</f>
        <v>966</v>
      </c>
      <c r="J14" s="75">
        <v>1</v>
      </c>
    </row>
    <row r="15" spans="1:10" s="1" customFormat="1" ht="20.100000000000001" customHeight="1" x14ac:dyDescent="0.25">
      <c r="C15" s="70"/>
      <c r="E15" s="15" t="s">
        <v>21</v>
      </c>
      <c r="F15" s="29">
        <v>636.4</v>
      </c>
      <c r="G15" s="34">
        <f>F15/5400*((I15*5/100)+I15)*J15</f>
        <v>123.49695555555556</v>
      </c>
      <c r="H15" s="34">
        <f t="shared" ref="H15:H21" si="0">G15*4.06</f>
        <v>501.39763955555554</v>
      </c>
      <c r="I15" s="83">
        <f>B8-2</f>
        <v>998</v>
      </c>
      <c r="J15" s="75">
        <v>1</v>
      </c>
    </row>
    <row r="16" spans="1:10" s="1" customFormat="1" ht="20.100000000000001" customHeight="1" x14ac:dyDescent="0.25">
      <c r="A16" s="1" t="s">
        <v>35</v>
      </c>
      <c r="E16" s="5" t="s">
        <v>19</v>
      </c>
      <c r="F16" s="45">
        <v>357.5</v>
      </c>
      <c r="G16" s="45">
        <f>F16*J16</f>
        <v>1430</v>
      </c>
      <c r="H16" s="34">
        <f t="shared" si="0"/>
        <v>5805.7999999999993</v>
      </c>
      <c r="I16" s="76">
        <f>J7</f>
        <v>2506</v>
      </c>
      <c r="J16" s="77">
        <f>B9*2</f>
        <v>4</v>
      </c>
    </row>
    <row r="17" spans="1:10" s="1" customFormat="1" ht="20.100000000000001" customHeight="1" x14ac:dyDescent="0.25">
      <c r="A17" s="1" t="s">
        <v>44</v>
      </c>
      <c r="E17" s="5" t="s">
        <v>28</v>
      </c>
      <c r="F17" s="45">
        <v>165</v>
      </c>
      <c r="G17" s="35">
        <f>(I17*J17/5400)*F17</f>
        <v>60.62222222222222</v>
      </c>
      <c r="H17" s="34">
        <f t="shared" si="0"/>
        <v>246.1262222222222</v>
      </c>
      <c r="I17" s="76">
        <f>J8-2*5</f>
        <v>496</v>
      </c>
      <c r="J17" s="77">
        <f>(B12+2)*B9</f>
        <v>4</v>
      </c>
    </row>
    <row r="18" spans="1:10" s="1" customFormat="1" ht="20.100000000000001" customHeight="1" x14ac:dyDescent="0.25">
      <c r="E18" s="5" t="s">
        <v>29</v>
      </c>
      <c r="F18" s="45">
        <v>731.5</v>
      </c>
      <c r="G18" s="35">
        <f t="shared" ref="G18:G21" si="1">(I18*J18/5400)*F18</f>
        <v>0</v>
      </c>
      <c r="H18" s="34">
        <f t="shared" si="0"/>
        <v>0</v>
      </c>
      <c r="I18" s="76">
        <f>I17-B14*C14</f>
        <v>356</v>
      </c>
      <c r="J18" s="77">
        <f>B13*B9</f>
        <v>0</v>
      </c>
    </row>
    <row r="19" spans="1:10" s="1" customFormat="1" ht="20.100000000000001" customHeight="1" x14ac:dyDescent="0.25">
      <c r="E19" s="7" t="s">
        <v>30</v>
      </c>
      <c r="F19" s="46">
        <v>704</v>
      </c>
      <c r="G19" s="35">
        <f t="shared" si="1"/>
        <v>36.5037037037037</v>
      </c>
      <c r="H19" s="34">
        <f t="shared" si="0"/>
        <v>148.20503703703702</v>
      </c>
      <c r="I19" s="78">
        <f>B14</f>
        <v>140</v>
      </c>
      <c r="J19" s="79">
        <f>C14*B9</f>
        <v>2</v>
      </c>
    </row>
    <row r="20" spans="1:10" s="1" customFormat="1" ht="20.100000000000001" customHeight="1" x14ac:dyDescent="0.25">
      <c r="A20" s="1" t="s">
        <v>36</v>
      </c>
      <c r="E20" s="7" t="s">
        <v>31</v>
      </c>
      <c r="F20" s="46">
        <v>236.5</v>
      </c>
      <c r="G20" s="35">
        <f t="shared" si="1"/>
        <v>4.0292592592592591</v>
      </c>
      <c r="H20" s="34">
        <f t="shared" si="0"/>
        <v>16.358792592592589</v>
      </c>
      <c r="I20" s="78">
        <v>23</v>
      </c>
      <c r="J20" s="79">
        <f>C14*2*B9</f>
        <v>4</v>
      </c>
    </row>
    <row r="21" spans="1:10" s="1" customFormat="1" ht="20.100000000000001" customHeight="1" thickBot="1" x14ac:dyDescent="0.3">
      <c r="E21" s="6" t="s">
        <v>34</v>
      </c>
      <c r="F21" s="47">
        <v>561</v>
      </c>
      <c r="G21" s="35">
        <f t="shared" si="1"/>
        <v>0</v>
      </c>
      <c r="H21" s="34">
        <f t="shared" si="0"/>
        <v>0</v>
      </c>
      <c r="I21" s="80">
        <f>J8-45</f>
        <v>461</v>
      </c>
      <c r="J21" s="81">
        <f>(B13+B12)*B9</f>
        <v>0</v>
      </c>
    </row>
    <row r="22" spans="1:10" s="1" customFormat="1" ht="20.100000000000001" customHeight="1" thickBot="1" x14ac:dyDescent="0.3">
      <c r="E22" s="3"/>
      <c r="F22" s="48"/>
      <c r="G22" s="48"/>
      <c r="H22" s="48"/>
      <c r="I22" s="67"/>
      <c r="J22" s="68"/>
    </row>
    <row r="23" spans="1:10" s="1" customFormat="1" ht="20.100000000000001" customHeight="1" x14ac:dyDescent="0.25">
      <c r="E23" s="16" t="s">
        <v>9</v>
      </c>
      <c r="F23" s="44" t="s">
        <v>48</v>
      </c>
      <c r="G23" s="44" t="s">
        <v>47</v>
      </c>
      <c r="H23" s="44"/>
      <c r="I23" s="115" t="s">
        <v>5</v>
      </c>
      <c r="J23" s="116"/>
    </row>
    <row r="24" spans="1:10" s="1" customFormat="1" ht="20.100000000000001" customHeight="1" x14ac:dyDescent="0.25">
      <c r="E24" s="5" t="s">
        <v>18</v>
      </c>
      <c r="F24" s="49">
        <v>216</v>
      </c>
      <c r="G24" s="49">
        <f>F24*I24</f>
        <v>432</v>
      </c>
      <c r="H24" s="34">
        <f t="shared" ref="H24:H34" si="2">G24*4.06</f>
        <v>1753.9199999999998</v>
      </c>
      <c r="I24" s="98">
        <f>IF(J8&gt;=1000,B9*1.5,B9)</f>
        <v>2</v>
      </c>
      <c r="J24" s="99"/>
    </row>
    <row r="25" spans="1:10" s="1" customFormat="1" ht="20.100000000000001" customHeight="1" x14ac:dyDescent="0.25">
      <c r="E25" s="5" t="s">
        <v>22</v>
      </c>
      <c r="F25" s="49">
        <v>180</v>
      </c>
      <c r="G25" s="49">
        <f t="shared" ref="G25:G34" si="3">F25*I25</f>
        <v>720</v>
      </c>
      <c r="H25" s="34">
        <f t="shared" si="2"/>
        <v>2923.2</v>
      </c>
      <c r="I25" s="94">
        <f>B9*2+B11</f>
        <v>4</v>
      </c>
      <c r="J25" s="95"/>
    </row>
    <row r="26" spans="1:10" s="1" customFormat="1" ht="20.100000000000001" customHeight="1" x14ac:dyDescent="0.25">
      <c r="E26" s="5" t="s">
        <v>25</v>
      </c>
      <c r="F26" s="49">
        <v>528</v>
      </c>
      <c r="G26" s="49">
        <f t="shared" si="3"/>
        <v>0</v>
      </c>
      <c r="H26" s="34">
        <f t="shared" si="2"/>
        <v>0</v>
      </c>
      <c r="I26" s="94">
        <f>B11</f>
        <v>0</v>
      </c>
      <c r="J26" s="95"/>
    </row>
    <row r="27" spans="1:10" s="1" customFormat="1" ht="20.100000000000001" customHeight="1" x14ac:dyDescent="0.25">
      <c r="E27" s="5" t="s">
        <v>26</v>
      </c>
      <c r="F27" s="49">
        <v>32.92</v>
      </c>
      <c r="G27" s="49">
        <f t="shared" si="3"/>
        <v>131.68</v>
      </c>
      <c r="H27" s="34">
        <f t="shared" si="2"/>
        <v>534.62080000000003</v>
      </c>
      <c r="I27" s="94">
        <f>B9*2-B11</f>
        <v>4</v>
      </c>
      <c r="J27" s="95"/>
    </row>
    <row r="28" spans="1:10" ht="20.100000000000001" customHeight="1" x14ac:dyDescent="0.3">
      <c r="A28" s="1"/>
      <c r="B28" s="1"/>
      <c r="C28" s="1"/>
      <c r="D28" s="1"/>
      <c r="E28" s="5" t="s">
        <v>55</v>
      </c>
      <c r="F28" s="49">
        <v>6.56</v>
      </c>
      <c r="G28" s="49">
        <f t="shared" si="3"/>
        <v>72.16</v>
      </c>
      <c r="H28" s="34">
        <f t="shared" si="2"/>
        <v>292.96959999999996</v>
      </c>
      <c r="I28" s="92">
        <f>CEILING(J16*J7/1000,1)</f>
        <v>11</v>
      </c>
      <c r="J28" s="93"/>
    </row>
    <row r="29" spans="1:10" ht="20.100000000000001" customHeight="1" x14ac:dyDescent="0.3">
      <c r="A29" s="1"/>
      <c r="B29" s="1"/>
      <c r="C29" s="1"/>
      <c r="D29" s="1"/>
      <c r="E29" s="5" t="s">
        <v>12</v>
      </c>
      <c r="F29" s="49">
        <v>9.0500000000000007</v>
      </c>
      <c r="G29" s="49">
        <f t="shared" si="3"/>
        <v>18.100000000000001</v>
      </c>
      <c r="H29" s="34">
        <f t="shared" si="2"/>
        <v>73.486000000000004</v>
      </c>
      <c r="I29" s="92">
        <f>CEILING(I15*2/1000,1)</f>
        <v>2</v>
      </c>
      <c r="J29" s="93"/>
    </row>
    <row r="30" spans="1:10" ht="20.100000000000001" customHeight="1" x14ac:dyDescent="0.3">
      <c r="A30" s="1"/>
      <c r="B30" s="1"/>
      <c r="C30" s="1"/>
      <c r="D30" s="1"/>
      <c r="E30" s="62" t="s">
        <v>54</v>
      </c>
      <c r="F30" s="33">
        <v>22</v>
      </c>
      <c r="G30" s="33">
        <f t="shared" si="3"/>
        <v>220.52799999999999</v>
      </c>
      <c r="H30" s="34">
        <f t="shared" si="2"/>
        <v>895.34367999999984</v>
      </c>
      <c r="I30" s="85">
        <f>J16*J7/1000</f>
        <v>10.023999999999999</v>
      </c>
      <c r="J30" s="86"/>
    </row>
    <row r="31" spans="1:10" ht="20.100000000000001" customHeight="1" x14ac:dyDescent="0.3">
      <c r="A31" s="1"/>
      <c r="B31" s="1"/>
      <c r="C31" s="1"/>
      <c r="D31" s="1"/>
      <c r="E31" s="5" t="s">
        <v>11</v>
      </c>
      <c r="F31" s="49">
        <v>0.8</v>
      </c>
      <c r="G31" s="53">
        <f t="shared" si="3"/>
        <v>6.3488000000000007</v>
      </c>
      <c r="H31" s="34">
        <f t="shared" si="2"/>
        <v>25.776128</v>
      </c>
      <c r="I31" s="94">
        <f>I17*J17/250</f>
        <v>7.9359999999999999</v>
      </c>
      <c r="J31" s="95"/>
    </row>
    <row r="32" spans="1:10" ht="20.100000000000001" customHeight="1" x14ac:dyDescent="0.3">
      <c r="B32" s="4"/>
      <c r="C32" s="4"/>
      <c r="E32" s="5" t="s">
        <v>10</v>
      </c>
      <c r="F32" s="49">
        <v>0.39</v>
      </c>
      <c r="G32" s="53">
        <f t="shared" si="3"/>
        <v>28.117440000000002</v>
      </c>
      <c r="H32" s="34">
        <f t="shared" si="2"/>
        <v>114.15680639999999</v>
      </c>
      <c r="I32" s="94">
        <f>16*B9+I16*J16/250+I21*J21/250*2</f>
        <v>72.096000000000004</v>
      </c>
      <c r="J32" s="95"/>
    </row>
    <row r="33" spans="1:10" ht="20.100000000000001" customHeight="1" x14ac:dyDescent="0.3">
      <c r="B33" s="4"/>
      <c r="C33" s="4"/>
      <c r="E33" s="5" t="s">
        <v>51</v>
      </c>
      <c r="F33" s="49">
        <v>0.31</v>
      </c>
      <c r="G33" s="49">
        <f t="shared" si="3"/>
        <v>1.24</v>
      </c>
      <c r="H33" s="34">
        <f t="shared" si="2"/>
        <v>5.0343999999999998</v>
      </c>
      <c r="I33" s="87">
        <v>4</v>
      </c>
      <c r="J33" s="88"/>
    </row>
    <row r="34" spans="1:10" ht="20.100000000000001" customHeight="1" thickBot="1" x14ac:dyDescent="0.35">
      <c r="B34" s="4"/>
      <c r="C34" s="4"/>
      <c r="E34" s="6" t="s">
        <v>52</v>
      </c>
      <c r="F34" s="50">
        <v>0.31</v>
      </c>
      <c r="G34" s="49">
        <f t="shared" si="3"/>
        <v>0.62</v>
      </c>
      <c r="H34" s="34">
        <f t="shared" si="2"/>
        <v>2.5171999999999999</v>
      </c>
      <c r="I34" s="89">
        <v>2</v>
      </c>
      <c r="J34" s="90"/>
    </row>
    <row r="35" spans="1:10" ht="20.100000000000001" customHeight="1" x14ac:dyDescent="0.3">
      <c r="B35" s="4"/>
      <c r="C35" s="4"/>
      <c r="E35" s="3"/>
      <c r="F35" s="51"/>
      <c r="G35" s="51"/>
      <c r="H35" s="51"/>
      <c r="I35" s="38"/>
      <c r="J35" s="39"/>
    </row>
    <row r="36" spans="1:10" ht="21" customHeight="1" x14ac:dyDescent="0.3">
      <c r="B36" s="4"/>
      <c r="C36" s="4"/>
      <c r="E36" s="117" t="s">
        <v>17</v>
      </c>
      <c r="F36" s="117"/>
      <c r="G36" s="117"/>
      <c r="H36" s="117"/>
      <c r="I36" s="119"/>
      <c r="J36" s="119"/>
    </row>
    <row r="37" spans="1:10" ht="36" customHeight="1" x14ac:dyDescent="0.3">
      <c r="A37" s="19"/>
      <c r="B37" s="19"/>
      <c r="C37" s="4"/>
      <c r="E37" s="117" t="s">
        <v>45</v>
      </c>
      <c r="F37" s="117"/>
      <c r="G37" s="117"/>
      <c r="H37" s="117"/>
      <c r="I37" s="118"/>
      <c r="J37" s="118"/>
    </row>
    <row r="38" spans="1:10" ht="20.100000000000001" hidden="1" customHeight="1" x14ac:dyDescent="0.3"/>
    <row r="41" spans="1:10" x14ac:dyDescent="0.3">
      <c r="E41" s="36"/>
      <c r="F41" s="37"/>
      <c r="G41" s="37"/>
      <c r="H41" s="37"/>
    </row>
  </sheetData>
  <sheetProtection password="CC59" sheet="1" objects="1" scenarios="1"/>
  <mergeCells count="27">
    <mergeCell ref="I27:J27"/>
    <mergeCell ref="B12:C12"/>
    <mergeCell ref="A2:J2"/>
    <mergeCell ref="A5:C5"/>
    <mergeCell ref="E5:J5"/>
    <mergeCell ref="E7:E8"/>
    <mergeCell ref="B7:C7"/>
    <mergeCell ref="A3:J3"/>
    <mergeCell ref="B8:C8"/>
    <mergeCell ref="B9:C9"/>
    <mergeCell ref="E10:E11"/>
    <mergeCell ref="B10:C10"/>
    <mergeCell ref="B11:C11"/>
    <mergeCell ref="B13:C13"/>
    <mergeCell ref="I23:J23"/>
    <mergeCell ref="I24:J24"/>
    <mergeCell ref="I25:J25"/>
    <mergeCell ref="I26:J26"/>
    <mergeCell ref="E37:J37"/>
    <mergeCell ref="E36:J36"/>
    <mergeCell ref="I28:J28"/>
    <mergeCell ref="I29:J29"/>
    <mergeCell ref="I31:J31"/>
    <mergeCell ref="I32:J32"/>
    <mergeCell ref="I30:J30"/>
    <mergeCell ref="I33:J33"/>
    <mergeCell ref="I34:J34"/>
  </mergeCells>
  <dataValidations count="5">
    <dataValidation type="whole" allowBlank="1" showInputMessage="1" showErrorMessage="1" sqref="B11:C11">
      <formula1>-1</formula1>
      <formula2>B9*2</formula2>
    </dataValidation>
    <dataValidation type="whole" operator="greaterThan" allowBlank="1" showInputMessage="1" showErrorMessage="1" sqref="B12:C13">
      <formula1>-1</formula1>
    </dataValidation>
    <dataValidation type="whole" allowBlank="1" showInputMessage="1" showErrorMessage="1" sqref="B9:C9">
      <formula1>1</formula1>
      <formula2>5</formula2>
    </dataValidation>
    <dataValidation type="whole" allowBlank="1" showInputMessage="1" showErrorMessage="1" sqref="C14">
      <formula1>0</formula1>
      <formula2>2</formula2>
    </dataValidation>
    <dataValidation type="whole" allowBlank="1" showInputMessage="1" showErrorMessage="1" sqref="B10:C10">
      <formula1>1</formula1>
      <formula2>4</formula2>
    </dataValidation>
  </dataValidations>
  <printOptions horizontalCentered="1"/>
  <pageMargins left="0.39370078740157483" right="0.39370078740157483" top="0.39370078740157483" bottom="0.39370078740157483" header="0" footer="0"/>
  <pageSetup paperSize="9" scale="70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38"/>
  <sheetViews>
    <sheetView zoomScale="70" zoomScaleNormal="70" workbookViewId="0">
      <selection activeCell="B10" sqref="B10:C10"/>
    </sheetView>
  </sheetViews>
  <sheetFormatPr defaultColWidth="9.140625" defaultRowHeight="18.75" x14ac:dyDescent="0.3"/>
  <cols>
    <col min="1" max="1" width="69.28515625" style="4" customWidth="1"/>
    <col min="2" max="3" width="14.7109375" style="2" customWidth="1"/>
    <col min="4" max="4" width="3.7109375" style="4" customWidth="1"/>
    <col min="5" max="5" width="89.5703125" style="4" bestFit="1" customWidth="1"/>
    <col min="6" max="8" width="17.5703125" style="4" hidden="1" customWidth="1"/>
    <col min="9" max="9" width="16.7109375" style="4" customWidth="1"/>
    <col min="10" max="10" width="13.42578125" style="4" customWidth="1"/>
    <col min="11" max="16384" width="9.140625" style="4"/>
  </cols>
  <sheetData>
    <row r="1" spans="1:10" x14ac:dyDescent="0.3">
      <c r="A1" s="84"/>
    </row>
    <row r="2" spans="1:10" s="1" customFormat="1" ht="26.25" x14ac:dyDescent="0.25">
      <c r="A2" s="110" t="s">
        <v>24</v>
      </c>
      <c r="B2" s="110"/>
      <c r="C2" s="110"/>
      <c r="D2" s="111"/>
      <c r="E2" s="111"/>
      <c r="F2" s="111"/>
      <c r="G2" s="111"/>
      <c r="H2" s="111"/>
      <c r="I2" s="111"/>
      <c r="J2" s="111"/>
    </row>
    <row r="3" spans="1:10" s="13" customFormat="1" ht="26.25" x14ac:dyDescent="0.25">
      <c r="A3" s="110" t="s">
        <v>42</v>
      </c>
      <c r="B3" s="110"/>
      <c r="C3" s="110"/>
      <c r="D3" s="111"/>
      <c r="E3" s="111"/>
      <c r="F3" s="111"/>
      <c r="G3" s="111"/>
      <c r="H3" s="111"/>
      <c r="I3" s="111"/>
      <c r="J3" s="111"/>
    </row>
    <row r="4" spans="1:10" s="13" customFormat="1" x14ac:dyDescent="0.3">
      <c r="A4" s="14"/>
      <c r="B4" s="14"/>
      <c r="C4" s="14"/>
      <c r="E4" s="17"/>
      <c r="F4" s="17"/>
      <c r="G4" s="17"/>
      <c r="H4" s="17"/>
      <c r="I4" s="17"/>
      <c r="J4" s="17"/>
    </row>
    <row r="5" spans="1:10" s="13" customFormat="1" ht="20.100000000000001" customHeight="1" x14ac:dyDescent="0.25">
      <c r="A5" s="112" t="s">
        <v>15</v>
      </c>
      <c r="B5" s="112"/>
      <c r="C5" s="112"/>
      <c r="E5" s="112" t="s">
        <v>14</v>
      </c>
      <c r="F5" s="112"/>
      <c r="G5" s="112"/>
      <c r="H5" s="112"/>
      <c r="I5" s="112"/>
      <c r="J5" s="112"/>
    </row>
    <row r="6" spans="1:10" s="13" customFormat="1" ht="20.100000000000001" customHeight="1" thickBot="1" x14ac:dyDescent="0.3">
      <c r="A6" s="22"/>
      <c r="B6" s="22"/>
      <c r="C6" s="22"/>
      <c r="E6" s="22"/>
      <c r="F6" s="22"/>
      <c r="G6" s="22"/>
      <c r="H6" s="22"/>
      <c r="I6" s="22"/>
      <c r="J6" s="22"/>
    </row>
    <row r="7" spans="1:10" s="1" customFormat="1" ht="20.100000000000001" customHeight="1" x14ac:dyDescent="0.25">
      <c r="A7" s="5" t="s">
        <v>0</v>
      </c>
      <c r="B7" s="100">
        <v>2700</v>
      </c>
      <c r="C7" s="101"/>
      <c r="E7" s="108" t="s">
        <v>8</v>
      </c>
      <c r="F7" s="25"/>
      <c r="G7" s="25"/>
      <c r="H7" s="25"/>
      <c r="I7" s="8" t="s">
        <v>6</v>
      </c>
      <c r="J7" s="71">
        <f>B7-10-22</f>
        <v>2668</v>
      </c>
    </row>
    <row r="8" spans="1:10" s="1" customFormat="1" ht="20.100000000000001" customHeight="1" thickBot="1" x14ac:dyDescent="0.3">
      <c r="A8" s="5" t="s">
        <v>37</v>
      </c>
      <c r="B8" s="100">
        <v>1500</v>
      </c>
      <c r="C8" s="101"/>
      <c r="E8" s="109"/>
      <c r="F8" s="26"/>
      <c r="G8" s="26"/>
      <c r="H8" s="26"/>
      <c r="I8" s="20" t="s">
        <v>7</v>
      </c>
      <c r="J8" s="72">
        <f>(B8+B10*12)/B9</f>
        <v>756</v>
      </c>
    </row>
    <row r="9" spans="1:10" s="1" customFormat="1" ht="20.100000000000001" customHeight="1" thickBot="1" x14ac:dyDescent="0.3">
      <c r="A9" s="5" t="s">
        <v>1</v>
      </c>
      <c r="B9" s="102">
        <v>2</v>
      </c>
      <c r="C9" s="103"/>
      <c r="E9" s="11"/>
      <c r="F9" s="11"/>
      <c r="G9" s="11"/>
      <c r="H9" s="11"/>
      <c r="I9" s="18"/>
      <c r="J9" s="73"/>
    </row>
    <row r="10" spans="1:10" s="1" customFormat="1" ht="20.100000000000001" customHeight="1" x14ac:dyDescent="0.3">
      <c r="A10" s="5" t="s">
        <v>2</v>
      </c>
      <c r="B10" s="102">
        <v>1</v>
      </c>
      <c r="C10" s="103"/>
      <c r="E10" s="113" t="s">
        <v>13</v>
      </c>
      <c r="F10" s="27"/>
      <c r="G10" s="27"/>
      <c r="H10" s="27"/>
      <c r="I10" s="24" t="s">
        <v>16</v>
      </c>
      <c r="J10" s="71">
        <f>J7-1.6*B12-26*B13-3.3*2</f>
        <v>2661.4</v>
      </c>
    </row>
    <row r="11" spans="1:10" s="1" customFormat="1" ht="20.100000000000001" customHeight="1" thickBot="1" x14ac:dyDescent="0.3">
      <c r="A11" s="7" t="s">
        <v>27</v>
      </c>
      <c r="B11" s="106">
        <v>0</v>
      </c>
      <c r="C11" s="107"/>
      <c r="E11" s="114"/>
      <c r="F11" s="55"/>
      <c r="G11" s="55"/>
      <c r="H11" s="55"/>
      <c r="I11" s="20" t="s">
        <v>7</v>
      </c>
      <c r="J11" s="72">
        <f>J8-1.6*2</f>
        <v>752.8</v>
      </c>
    </row>
    <row r="12" spans="1:10" s="1" customFormat="1" ht="20.100000000000001" customHeight="1" thickBot="1" x14ac:dyDescent="0.3">
      <c r="A12" s="42" t="s">
        <v>32</v>
      </c>
      <c r="B12" s="104">
        <v>0</v>
      </c>
      <c r="C12" s="105"/>
      <c r="E12" s="11"/>
      <c r="F12" s="11"/>
      <c r="G12" s="11"/>
      <c r="H12" s="11"/>
      <c r="I12" s="12"/>
      <c r="J12" s="23"/>
    </row>
    <row r="13" spans="1:10" s="1" customFormat="1" ht="20.100000000000001" customHeight="1" x14ac:dyDescent="0.25">
      <c r="A13" s="82" t="s">
        <v>33</v>
      </c>
      <c r="B13" s="106">
        <v>0</v>
      </c>
      <c r="C13" s="107"/>
      <c r="E13" s="10" t="s">
        <v>3</v>
      </c>
      <c r="F13" s="44" t="s">
        <v>48</v>
      </c>
      <c r="G13" s="44" t="s">
        <v>47</v>
      </c>
      <c r="H13" s="52" t="s">
        <v>53</v>
      </c>
      <c r="I13" s="8" t="s">
        <v>4</v>
      </c>
      <c r="J13" s="9" t="s">
        <v>5</v>
      </c>
    </row>
    <row r="14" spans="1:10" s="1" customFormat="1" ht="20.100000000000001" customHeight="1" thickBot="1" x14ac:dyDescent="0.3">
      <c r="A14" s="6" t="s">
        <v>23</v>
      </c>
      <c r="B14" s="64">
        <v>140</v>
      </c>
      <c r="C14" s="65">
        <v>2</v>
      </c>
      <c r="E14" s="15" t="s">
        <v>20</v>
      </c>
      <c r="F14" s="29">
        <v>1352</v>
      </c>
      <c r="G14" s="34">
        <f>F14/5400*((I14*5/100)+I14)*J14</f>
        <v>393.80755555555555</v>
      </c>
      <c r="H14" s="34">
        <f>G14*4.06</f>
        <v>1598.8586755555555</v>
      </c>
      <c r="I14" s="74">
        <f>B8-2</f>
        <v>1498</v>
      </c>
      <c r="J14" s="75">
        <v>1</v>
      </c>
    </row>
    <row r="15" spans="1:10" s="1" customFormat="1" ht="20.100000000000001" customHeight="1" x14ac:dyDescent="0.25">
      <c r="C15" s="69"/>
      <c r="E15" s="15" t="s">
        <v>21</v>
      </c>
      <c r="F15" s="29">
        <v>636.4</v>
      </c>
      <c r="G15" s="34">
        <f>F15/5400*((I15*5/100)+I15)*J15</f>
        <v>185.36917777777779</v>
      </c>
      <c r="H15" s="34">
        <f t="shared" ref="H15:H21" si="0">G15*4.06</f>
        <v>752.59886177777776</v>
      </c>
      <c r="I15" s="74">
        <f>B8-2</f>
        <v>1498</v>
      </c>
      <c r="J15" s="75">
        <v>1</v>
      </c>
    </row>
    <row r="16" spans="1:10" s="1" customFormat="1" ht="20.100000000000001" customHeight="1" x14ac:dyDescent="0.25">
      <c r="A16" s="1" t="s">
        <v>35</v>
      </c>
      <c r="E16" s="5" t="s">
        <v>19</v>
      </c>
      <c r="F16" s="30">
        <v>357.5</v>
      </c>
      <c r="G16" s="30">
        <f>F16*J16</f>
        <v>1430</v>
      </c>
      <c r="H16" s="34">
        <f t="shared" si="0"/>
        <v>5805.7999999999993</v>
      </c>
      <c r="I16" s="76">
        <f>J7</f>
        <v>2668</v>
      </c>
      <c r="J16" s="77">
        <f>B9*2</f>
        <v>4</v>
      </c>
    </row>
    <row r="17" spans="1:10" s="1" customFormat="1" ht="20.100000000000001" customHeight="1" x14ac:dyDescent="0.25">
      <c r="E17" s="5" t="s">
        <v>28</v>
      </c>
      <c r="F17" s="30">
        <v>165</v>
      </c>
      <c r="G17" s="35">
        <f>(I17*J17/5400)*F17</f>
        <v>91.177777777777791</v>
      </c>
      <c r="H17" s="34">
        <f t="shared" si="0"/>
        <v>370.18177777777782</v>
      </c>
      <c r="I17" s="76">
        <f>J8-2*5</f>
        <v>746</v>
      </c>
      <c r="J17" s="77">
        <f>(B12+2)*B9</f>
        <v>4</v>
      </c>
    </row>
    <row r="18" spans="1:10" s="1" customFormat="1" ht="20.100000000000001" customHeight="1" x14ac:dyDescent="0.25">
      <c r="E18" s="5" t="s">
        <v>29</v>
      </c>
      <c r="F18" s="30">
        <v>731.5</v>
      </c>
      <c r="G18" s="35">
        <f>(I18*J18/5400)*F18</f>
        <v>0</v>
      </c>
      <c r="H18" s="34">
        <f t="shared" si="0"/>
        <v>0</v>
      </c>
      <c r="I18" s="76">
        <f>I17-B14*C14</f>
        <v>466</v>
      </c>
      <c r="J18" s="77">
        <f>B13*B9</f>
        <v>0</v>
      </c>
    </row>
    <row r="19" spans="1:10" s="1" customFormat="1" ht="20.100000000000001" customHeight="1" x14ac:dyDescent="0.25">
      <c r="E19" s="7" t="s">
        <v>30</v>
      </c>
      <c r="F19" s="31">
        <v>704</v>
      </c>
      <c r="G19" s="35">
        <f>(I19*J19/5400)*F19</f>
        <v>73.007407407407399</v>
      </c>
      <c r="H19" s="34">
        <f t="shared" si="0"/>
        <v>296.41007407407403</v>
      </c>
      <c r="I19" s="78">
        <f>B14</f>
        <v>140</v>
      </c>
      <c r="J19" s="79">
        <f>C14*B9</f>
        <v>4</v>
      </c>
    </row>
    <row r="20" spans="1:10" s="1" customFormat="1" ht="20.100000000000001" customHeight="1" x14ac:dyDescent="0.25">
      <c r="A20" s="1" t="s">
        <v>36</v>
      </c>
      <c r="E20" s="7" t="s">
        <v>31</v>
      </c>
      <c r="F20" s="31">
        <v>236.5</v>
      </c>
      <c r="G20" s="35">
        <f>(I20*J20/5400)*F20</f>
        <v>8.0585185185185182</v>
      </c>
      <c r="H20" s="34">
        <f t="shared" si="0"/>
        <v>32.717585185185179</v>
      </c>
      <c r="I20" s="78">
        <v>23</v>
      </c>
      <c r="J20" s="79">
        <f>C14*2*B9</f>
        <v>8</v>
      </c>
    </row>
    <row r="21" spans="1:10" s="1" customFormat="1" ht="20.100000000000001" customHeight="1" thickBot="1" x14ac:dyDescent="0.3">
      <c r="E21" s="6" t="s">
        <v>34</v>
      </c>
      <c r="F21" s="32">
        <v>561</v>
      </c>
      <c r="G21" s="61">
        <f>(I21*J21/5400)*F21</f>
        <v>0</v>
      </c>
      <c r="H21" s="34">
        <f t="shared" si="0"/>
        <v>0</v>
      </c>
      <c r="I21" s="80">
        <f>J8-45</f>
        <v>711</v>
      </c>
      <c r="J21" s="81">
        <f>(B13+B12)*B9</f>
        <v>0</v>
      </c>
    </row>
    <row r="22" spans="1:10" s="1" customFormat="1" ht="20.100000000000001" customHeight="1" thickBot="1" x14ac:dyDescent="0.3">
      <c r="E22" s="3"/>
      <c r="F22" s="56"/>
      <c r="G22" s="56"/>
      <c r="H22" s="56"/>
      <c r="I22" s="67"/>
      <c r="J22" s="68"/>
    </row>
    <row r="23" spans="1:10" s="1" customFormat="1" ht="20.100000000000001" customHeight="1" x14ac:dyDescent="0.25">
      <c r="E23" s="16" t="s">
        <v>9</v>
      </c>
      <c r="F23" s="57" t="s">
        <v>48</v>
      </c>
      <c r="G23" s="57" t="s">
        <v>47</v>
      </c>
      <c r="H23" s="57"/>
      <c r="I23" s="115" t="s">
        <v>5</v>
      </c>
      <c r="J23" s="116"/>
    </row>
    <row r="24" spans="1:10" s="1" customFormat="1" ht="20.100000000000001" customHeight="1" x14ac:dyDescent="0.25">
      <c r="E24" s="5" t="s">
        <v>18</v>
      </c>
      <c r="F24" s="58">
        <v>216</v>
      </c>
      <c r="G24" s="58">
        <f t="shared" ref="G24:G34" si="1">F24*I24</f>
        <v>432</v>
      </c>
      <c r="H24" s="34">
        <f t="shared" ref="H24:H34" si="2">G24*4.06</f>
        <v>1753.9199999999998</v>
      </c>
      <c r="I24" s="98">
        <f>IF(J8&gt;=1000,B9*1.5,B9)</f>
        <v>2</v>
      </c>
      <c r="J24" s="99"/>
    </row>
    <row r="25" spans="1:10" s="1" customFormat="1" ht="20.100000000000001" customHeight="1" x14ac:dyDescent="0.25">
      <c r="E25" s="5" t="s">
        <v>22</v>
      </c>
      <c r="F25" s="58">
        <v>180</v>
      </c>
      <c r="G25" s="58">
        <f t="shared" si="1"/>
        <v>720</v>
      </c>
      <c r="H25" s="34">
        <f t="shared" si="2"/>
        <v>2923.2</v>
      </c>
      <c r="I25" s="94">
        <f>B9*2+B11</f>
        <v>4</v>
      </c>
      <c r="J25" s="95"/>
    </row>
    <row r="26" spans="1:10" s="1" customFormat="1" ht="20.100000000000001" customHeight="1" x14ac:dyDescent="0.25">
      <c r="E26" s="5" t="s">
        <v>25</v>
      </c>
      <c r="F26" s="58">
        <v>528</v>
      </c>
      <c r="G26" s="58">
        <f t="shared" si="1"/>
        <v>0</v>
      </c>
      <c r="H26" s="34">
        <f t="shared" si="2"/>
        <v>0</v>
      </c>
      <c r="I26" s="94">
        <f>B11</f>
        <v>0</v>
      </c>
      <c r="J26" s="95"/>
    </row>
    <row r="27" spans="1:10" s="1" customFormat="1" ht="20.100000000000001" customHeight="1" x14ac:dyDescent="0.25">
      <c r="E27" s="5" t="s">
        <v>26</v>
      </c>
      <c r="F27" s="58">
        <v>32.92</v>
      </c>
      <c r="G27" s="58">
        <f t="shared" si="1"/>
        <v>131.68</v>
      </c>
      <c r="H27" s="34">
        <f t="shared" si="2"/>
        <v>534.62080000000003</v>
      </c>
      <c r="I27" s="94">
        <f>B9*2-B11</f>
        <v>4</v>
      </c>
      <c r="J27" s="95"/>
    </row>
    <row r="28" spans="1:10" ht="20.100000000000001" customHeight="1" x14ac:dyDescent="0.3">
      <c r="A28" s="1"/>
      <c r="B28" s="1"/>
      <c r="C28" s="1"/>
      <c r="D28" s="1"/>
      <c r="E28" s="5" t="s">
        <v>55</v>
      </c>
      <c r="F28" s="58">
        <v>6.56</v>
      </c>
      <c r="G28" s="58">
        <f t="shared" si="1"/>
        <v>72.16</v>
      </c>
      <c r="H28" s="34">
        <f t="shared" si="2"/>
        <v>292.96959999999996</v>
      </c>
      <c r="I28" s="92">
        <f>CEILING(J16*J7/1000,1)</f>
        <v>11</v>
      </c>
      <c r="J28" s="93"/>
    </row>
    <row r="29" spans="1:10" ht="20.100000000000001" customHeight="1" x14ac:dyDescent="0.3">
      <c r="A29" s="1"/>
      <c r="B29" s="1"/>
      <c r="C29" s="1"/>
      <c r="D29" s="1"/>
      <c r="E29" s="5" t="s">
        <v>12</v>
      </c>
      <c r="F29" s="58">
        <v>9.0500000000000007</v>
      </c>
      <c r="G29" s="58">
        <f t="shared" si="1"/>
        <v>27.150000000000002</v>
      </c>
      <c r="H29" s="34">
        <f t="shared" si="2"/>
        <v>110.229</v>
      </c>
      <c r="I29" s="92">
        <f>CEILING(I15*2/1000,1)</f>
        <v>3</v>
      </c>
      <c r="J29" s="93"/>
    </row>
    <row r="30" spans="1:10" ht="20.100000000000001" customHeight="1" x14ac:dyDescent="0.3">
      <c r="A30" s="1"/>
      <c r="B30" s="1"/>
      <c r="C30" s="1"/>
      <c r="D30" s="1"/>
      <c r="E30" s="62" t="s">
        <v>54</v>
      </c>
      <c r="F30" s="33">
        <v>22</v>
      </c>
      <c r="G30" s="33">
        <f t="shared" si="1"/>
        <v>234.78400000000002</v>
      </c>
      <c r="H30" s="34">
        <f t="shared" si="2"/>
        <v>953.22303999999997</v>
      </c>
      <c r="I30" s="85">
        <f>J16*J7/1000</f>
        <v>10.672000000000001</v>
      </c>
      <c r="J30" s="86"/>
    </row>
    <row r="31" spans="1:10" ht="20.100000000000001" customHeight="1" x14ac:dyDescent="0.3">
      <c r="A31" s="1"/>
      <c r="B31" s="1"/>
      <c r="C31" s="1"/>
      <c r="D31" s="1"/>
      <c r="E31" s="5" t="s">
        <v>11</v>
      </c>
      <c r="F31" s="58">
        <v>0.8</v>
      </c>
      <c r="G31" s="59">
        <f t="shared" si="1"/>
        <v>9.5488</v>
      </c>
      <c r="H31" s="34">
        <f t="shared" si="2"/>
        <v>38.768127999999997</v>
      </c>
      <c r="I31" s="94">
        <f>I17*J17/250</f>
        <v>11.936</v>
      </c>
      <c r="J31" s="95"/>
    </row>
    <row r="32" spans="1:10" ht="20.100000000000001" customHeight="1" x14ac:dyDescent="0.3">
      <c r="B32" s="4"/>
      <c r="C32" s="4"/>
      <c r="E32" s="5" t="s">
        <v>10</v>
      </c>
      <c r="F32" s="58">
        <v>0.39</v>
      </c>
      <c r="G32" s="59">
        <f t="shared" si="1"/>
        <v>29.128320000000002</v>
      </c>
      <c r="H32" s="34">
        <f t="shared" si="2"/>
        <v>118.26097919999999</v>
      </c>
      <c r="I32" s="94">
        <f>16*B9+I16*J16/250+I21*J21/250*2</f>
        <v>74.688000000000002</v>
      </c>
      <c r="J32" s="95"/>
    </row>
    <row r="33" spans="1:10" ht="20.100000000000001" customHeight="1" x14ac:dyDescent="0.3">
      <c r="B33" s="4"/>
      <c r="C33" s="4"/>
      <c r="E33" s="5" t="s">
        <v>51</v>
      </c>
      <c r="F33" s="58">
        <v>0.31</v>
      </c>
      <c r="G33" s="58">
        <f t="shared" si="1"/>
        <v>1.24</v>
      </c>
      <c r="H33" s="34">
        <f t="shared" si="2"/>
        <v>5.0343999999999998</v>
      </c>
      <c r="I33" s="94">
        <v>4</v>
      </c>
      <c r="J33" s="120"/>
    </row>
    <row r="34" spans="1:10" ht="20.100000000000001" customHeight="1" thickBot="1" x14ac:dyDescent="0.35">
      <c r="B34" s="4"/>
      <c r="C34" s="4"/>
      <c r="E34" s="6" t="s">
        <v>52</v>
      </c>
      <c r="F34" s="50">
        <v>0.31</v>
      </c>
      <c r="G34" s="50">
        <f t="shared" si="1"/>
        <v>0.62</v>
      </c>
      <c r="H34" s="34">
        <f t="shared" si="2"/>
        <v>2.5171999999999999</v>
      </c>
      <c r="I34" s="121">
        <v>2</v>
      </c>
      <c r="J34" s="122"/>
    </row>
    <row r="35" spans="1:10" ht="20.100000000000001" customHeight="1" x14ac:dyDescent="0.3">
      <c r="B35" s="4"/>
      <c r="C35" s="4"/>
      <c r="E35" s="60"/>
      <c r="F35" s="51"/>
      <c r="G35" s="54"/>
      <c r="H35" s="54"/>
      <c r="I35" s="63"/>
      <c r="J35" s="63"/>
    </row>
    <row r="36" spans="1:10" ht="33" customHeight="1" x14ac:dyDescent="0.3">
      <c r="B36" s="4"/>
      <c r="C36" s="4"/>
      <c r="E36" s="117" t="s">
        <v>17</v>
      </c>
      <c r="F36" s="117"/>
      <c r="G36" s="117"/>
      <c r="H36" s="117"/>
      <c r="I36" s="119"/>
      <c r="J36" s="119"/>
    </row>
    <row r="37" spans="1:10" ht="32.25" customHeight="1" x14ac:dyDescent="0.3">
      <c r="A37" s="19"/>
      <c r="B37" s="19"/>
      <c r="C37" s="4"/>
      <c r="E37" s="117" t="s">
        <v>45</v>
      </c>
      <c r="F37" s="117"/>
      <c r="G37" s="117"/>
      <c r="H37" s="117"/>
      <c r="I37" s="118"/>
      <c r="J37" s="118"/>
    </row>
    <row r="38" spans="1:10" x14ac:dyDescent="0.3">
      <c r="E38" s="36"/>
      <c r="F38" s="37"/>
      <c r="G38" s="37"/>
      <c r="H38" s="37"/>
    </row>
  </sheetData>
  <sheetProtection password="CC59" sheet="1" objects="1" scenarios="1"/>
  <mergeCells count="27">
    <mergeCell ref="B12:C12"/>
    <mergeCell ref="A2:J2"/>
    <mergeCell ref="A5:C5"/>
    <mergeCell ref="E5:J5"/>
    <mergeCell ref="E7:E8"/>
    <mergeCell ref="B7:C7"/>
    <mergeCell ref="A3:J3"/>
    <mergeCell ref="B8:C8"/>
    <mergeCell ref="B9:C9"/>
    <mergeCell ref="E10:E11"/>
    <mergeCell ref="B10:C10"/>
    <mergeCell ref="B11:C11"/>
    <mergeCell ref="E37:J37"/>
    <mergeCell ref="B13:C13"/>
    <mergeCell ref="I23:J23"/>
    <mergeCell ref="I24:J24"/>
    <mergeCell ref="I25:J25"/>
    <mergeCell ref="I26:J26"/>
    <mergeCell ref="I27:J27"/>
    <mergeCell ref="I28:J28"/>
    <mergeCell ref="I29:J29"/>
    <mergeCell ref="I31:J31"/>
    <mergeCell ref="I32:J32"/>
    <mergeCell ref="E36:J36"/>
    <mergeCell ref="I33:J33"/>
    <mergeCell ref="I34:J34"/>
    <mergeCell ref="I30:J30"/>
  </mergeCells>
  <dataValidations count="5">
    <dataValidation type="whole" allowBlank="1" showInputMessage="1" showErrorMessage="1" sqref="B11:C11">
      <formula1>-1</formula1>
      <formula2>B9*2</formula2>
    </dataValidation>
    <dataValidation type="whole" operator="greaterThan" allowBlank="1" showInputMessage="1" showErrorMessage="1" sqref="B12:C13">
      <formula1>-1</formula1>
    </dataValidation>
    <dataValidation type="whole" allowBlank="1" showInputMessage="1" showErrorMessage="1" sqref="B9:C9">
      <formula1>1</formula1>
      <formula2>5</formula2>
    </dataValidation>
    <dataValidation type="whole" allowBlank="1" showInputMessage="1" showErrorMessage="1" sqref="C14">
      <formula1>0</formula1>
      <formula2>2</formula2>
    </dataValidation>
    <dataValidation type="whole" allowBlank="1" showInputMessage="1" showErrorMessage="1" sqref="B10:C10">
      <formula1>1</formula1>
      <formula2>4</formula2>
    </dataValidation>
  </dataValidations>
  <printOptions horizontalCentered="1"/>
  <pageMargins left="0.39370078740157483" right="0.39370078740157483" top="0.39370078740157483" bottom="0.39370078740157483" header="0" footer="0"/>
  <pageSetup paperSize="9" scale="7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</vt:i4>
      </vt:variant>
      <vt:variant>
        <vt:lpstr>Именованные диапазоны</vt:lpstr>
      </vt:variant>
      <vt:variant>
        <vt:i4>3</vt:i4>
      </vt:variant>
    </vt:vector>
  </HeadingPairs>
  <TitlesOfParts>
    <vt:vector size="6" baseType="lpstr">
      <vt:lpstr>Видимый верхний трек</vt:lpstr>
      <vt:lpstr>Скрытый верхний трек, корпус</vt:lpstr>
      <vt:lpstr>Скрытый верхний трек, проем</vt:lpstr>
      <vt:lpstr>'Видимый верхний трек'!Область_печати</vt:lpstr>
      <vt:lpstr>'Скрытый верхний трек, корпус'!Область_печати</vt:lpstr>
      <vt:lpstr>'Скрытый верхний трек, проем'!Область_печати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2017-09-19T10:33:47Z</dcterms:modified>
</cp:coreProperties>
</file>